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7-11 лет" sheetId="1" r:id="rId1"/>
    <sheet name="12 и старше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9" i="1" l="1"/>
  <c r="K279" i="1"/>
  <c r="J279" i="1"/>
  <c r="I279" i="1"/>
  <c r="H279" i="1"/>
  <c r="F279" i="1"/>
  <c r="E279" i="1"/>
  <c r="D279" i="1"/>
  <c r="G182" i="1"/>
  <c r="L102" i="1"/>
  <c r="H102" i="1"/>
  <c r="D84" i="1"/>
  <c r="C83" i="1"/>
  <c r="D83" i="1"/>
  <c r="E83" i="1"/>
  <c r="F83" i="1"/>
  <c r="G83" i="1"/>
  <c r="H83" i="1"/>
  <c r="I83" i="1"/>
  <c r="J83" i="1"/>
  <c r="L83" i="1"/>
  <c r="L77" i="1"/>
  <c r="H77" i="1"/>
  <c r="F77" i="1"/>
  <c r="D77" i="1"/>
  <c r="D29" i="1"/>
  <c r="E29" i="1"/>
  <c r="F29" i="1"/>
  <c r="F251" i="1"/>
  <c r="E251" i="1"/>
  <c r="D251" i="1"/>
  <c r="L251" i="1"/>
  <c r="K251" i="1"/>
  <c r="J251" i="1"/>
  <c r="I251" i="1"/>
  <c r="H251" i="1"/>
  <c r="K280" i="1"/>
  <c r="K278" i="1"/>
  <c r="L260" i="1" l="1"/>
  <c r="K260" i="1"/>
  <c r="J260" i="1"/>
  <c r="I260" i="1"/>
  <c r="H260" i="1"/>
  <c r="G260" i="1"/>
  <c r="F260" i="1"/>
  <c r="E260" i="1"/>
  <c r="D260" i="1"/>
  <c r="J235" i="1"/>
  <c r="I235" i="1"/>
  <c r="H235" i="1"/>
  <c r="G235" i="1"/>
  <c r="E235" i="1"/>
  <c r="D235" i="1"/>
  <c r="L235" i="1" s="1"/>
  <c r="L234" i="1"/>
  <c r="K234" i="1"/>
  <c r="J234" i="1"/>
  <c r="I234" i="1"/>
  <c r="H234" i="1"/>
  <c r="G234" i="1"/>
  <c r="F234" i="1"/>
  <c r="E234" i="1"/>
  <c r="D234" i="1"/>
  <c r="H210" i="1"/>
  <c r="H155" i="1"/>
  <c r="F178" i="1"/>
  <c r="G178" i="1"/>
  <c r="D177" i="1"/>
  <c r="E177" i="1"/>
  <c r="F177" i="1"/>
  <c r="G177" i="1"/>
  <c r="I177" i="1"/>
  <c r="K177" i="1"/>
  <c r="L177" i="1"/>
  <c r="J262" i="1"/>
  <c r="I262" i="1"/>
  <c r="G262" i="1"/>
  <c r="F262" i="1"/>
  <c r="E262" i="1"/>
  <c r="D262" i="1"/>
  <c r="L262" i="1" s="1"/>
  <c r="J236" i="1"/>
  <c r="I236" i="1"/>
  <c r="G236" i="1"/>
  <c r="F236" i="1"/>
  <c r="E236" i="1"/>
  <c r="D236" i="1"/>
  <c r="L236" i="1" s="1"/>
  <c r="J208" i="1"/>
  <c r="I208" i="1"/>
  <c r="G208" i="1"/>
  <c r="F208" i="1"/>
  <c r="E208" i="1"/>
  <c r="D208" i="1"/>
  <c r="L208" i="1" s="1"/>
  <c r="J181" i="1"/>
  <c r="I181" i="1"/>
  <c r="G181" i="1"/>
  <c r="F181" i="1"/>
  <c r="E181" i="1"/>
  <c r="D181" i="1"/>
  <c r="L181" i="1" s="1"/>
  <c r="J154" i="1"/>
  <c r="I154" i="1"/>
  <c r="G154" i="1"/>
  <c r="F154" i="1"/>
  <c r="E154" i="1"/>
  <c r="D154" i="1"/>
  <c r="L154" i="1" s="1"/>
  <c r="J120" i="1"/>
  <c r="I120" i="1"/>
  <c r="G120" i="1"/>
  <c r="F120" i="1"/>
  <c r="E120" i="1"/>
  <c r="D120" i="1"/>
  <c r="L120" i="1" s="1"/>
  <c r="J94" i="1"/>
  <c r="I94" i="1"/>
  <c r="G94" i="1"/>
  <c r="F94" i="1"/>
  <c r="E94" i="1"/>
  <c r="D94" i="1"/>
  <c r="L94" i="1" s="1"/>
  <c r="J68" i="1"/>
  <c r="I68" i="1"/>
  <c r="G68" i="1"/>
  <c r="F68" i="1"/>
  <c r="E68" i="1"/>
  <c r="D68" i="1"/>
  <c r="L68" i="1" s="1"/>
  <c r="J41" i="1"/>
  <c r="I41" i="1"/>
  <c r="G41" i="1"/>
  <c r="F41" i="1"/>
  <c r="E41" i="1"/>
  <c r="D41" i="1"/>
  <c r="L41" i="1" s="1"/>
  <c r="L93" i="1"/>
  <c r="K93" i="1"/>
  <c r="J93" i="1"/>
  <c r="I93" i="1"/>
  <c r="H93" i="1"/>
  <c r="G93" i="1"/>
  <c r="F93" i="1"/>
  <c r="E93" i="1"/>
  <c r="D93" i="1"/>
  <c r="G274" i="1"/>
  <c r="F274" i="1"/>
  <c r="G261" i="1"/>
  <c r="F261" i="1"/>
  <c r="G249" i="1"/>
  <c r="F249" i="1"/>
  <c r="G233" i="1"/>
  <c r="F233" i="1"/>
  <c r="G222" i="1"/>
  <c r="F222" i="1"/>
  <c r="G207" i="1"/>
  <c r="F207" i="1"/>
  <c r="G195" i="1"/>
  <c r="F195" i="1"/>
  <c r="G167" i="1"/>
  <c r="F167" i="1"/>
  <c r="G153" i="1"/>
  <c r="F153" i="1"/>
  <c r="G134" i="1"/>
  <c r="F134" i="1"/>
  <c r="G117" i="1"/>
  <c r="F117" i="1"/>
  <c r="G106" i="1"/>
  <c r="F106" i="1"/>
  <c r="G92" i="1"/>
  <c r="F92" i="1"/>
  <c r="G82" i="1"/>
  <c r="F82" i="1"/>
  <c r="G66" i="1"/>
  <c r="F66" i="1"/>
  <c r="L55" i="1"/>
  <c r="J55" i="1"/>
  <c r="I55" i="1"/>
  <c r="H55" i="1"/>
  <c r="G55" i="1"/>
  <c r="F55" i="1"/>
  <c r="E55" i="1"/>
  <c r="D50" i="1"/>
  <c r="G39" i="1"/>
  <c r="F39" i="1"/>
  <c r="L38" i="1"/>
  <c r="K38" i="1"/>
  <c r="J38" i="1"/>
  <c r="I38" i="1"/>
  <c r="H38" i="1"/>
  <c r="G38" i="1"/>
  <c r="F38" i="1"/>
  <c r="E38" i="1"/>
  <c r="D38" i="1"/>
  <c r="G26" i="1"/>
  <c r="G28" i="1" s="1"/>
  <c r="F26" i="1"/>
  <c r="C28" i="1"/>
  <c r="D28" i="1"/>
  <c r="E28" i="1"/>
  <c r="F28" i="1"/>
  <c r="I28" i="1"/>
  <c r="J28" i="1"/>
  <c r="L28" i="1"/>
  <c r="L11" i="1"/>
  <c r="K11" i="1"/>
  <c r="J11" i="1"/>
  <c r="I11" i="1"/>
  <c r="H11" i="1"/>
  <c r="G11" i="1"/>
  <c r="F11" i="1"/>
  <c r="E11" i="1"/>
  <c r="D11" i="1"/>
  <c r="J237" i="1" l="1"/>
  <c r="I237" i="1"/>
  <c r="H237" i="1"/>
  <c r="L237" i="1"/>
  <c r="K237" i="1"/>
  <c r="G237" i="1"/>
  <c r="F237" i="1"/>
  <c r="E237" i="1"/>
  <c r="D237" i="1"/>
  <c r="C237" i="1"/>
  <c r="L275" i="1"/>
  <c r="K275" i="1"/>
  <c r="J275" i="1"/>
  <c r="I275" i="1"/>
  <c r="H275" i="1"/>
  <c r="G275" i="1"/>
  <c r="F275" i="1"/>
  <c r="E275" i="1"/>
  <c r="D275" i="1"/>
  <c r="C275" i="1"/>
  <c r="L250" i="1"/>
  <c r="K250" i="1"/>
  <c r="J250" i="1"/>
  <c r="I250" i="1"/>
  <c r="H250" i="1"/>
  <c r="G250" i="1"/>
  <c r="F250" i="1"/>
  <c r="E250" i="1"/>
  <c r="D250" i="1"/>
  <c r="C250" i="1"/>
  <c r="L223" i="1"/>
  <c r="K223" i="1"/>
  <c r="J223" i="1"/>
  <c r="I223" i="1"/>
  <c r="H223" i="1"/>
  <c r="G223" i="1"/>
  <c r="F223" i="1"/>
  <c r="E223" i="1"/>
  <c r="D223" i="1"/>
  <c r="C223" i="1"/>
  <c r="L196" i="1"/>
  <c r="K196" i="1"/>
  <c r="J196" i="1"/>
  <c r="I196" i="1"/>
  <c r="H196" i="1"/>
  <c r="G196" i="1"/>
  <c r="F196" i="1"/>
  <c r="E196" i="1"/>
  <c r="D196" i="1"/>
  <c r="C196" i="1"/>
  <c r="C210" i="1"/>
  <c r="D210" i="1"/>
  <c r="E210" i="1"/>
  <c r="F210" i="1"/>
  <c r="G210" i="1"/>
  <c r="J180" i="1"/>
  <c r="I180" i="1"/>
  <c r="H180" i="1"/>
  <c r="G180" i="1"/>
  <c r="E180" i="1"/>
  <c r="D180" i="1"/>
  <c r="L180" i="1" s="1"/>
  <c r="J168" i="1"/>
  <c r="I168" i="1"/>
  <c r="C168" i="1"/>
  <c r="L168" i="1"/>
  <c r="K168" i="1"/>
  <c r="H168" i="1"/>
  <c r="G168" i="1"/>
  <c r="F168" i="1"/>
  <c r="E168" i="1"/>
  <c r="D168" i="1"/>
  <c r="J135" i="1"/>
  <c r="I135" i="1"/>
  <c r="C135" i="1"/>
  <c r="K135" i="1"/>
  <c r="H135" i="1"/>
  <c r="G135" i="1"/>
  <c r="F135" i="1"/>
  <c r="E135" i="1"/>
  <c r="L135" i="1"/>
  <c r="J119" i="1"/>
  <c r="I119" i="1"/>
  <c r="H119" i="1"/>
  <c r="G119" i="1"/>
  <c r="E119" i="1"/>
  <c r="D119" i="1"/>
  <c r="L119" i="1" s="1"/>
  <c r="K118" i="1"/>
  <c r="I118" i="1"/>
  <c r="G118" i="1"/>
  <c r="F118" i="1"/>
  <c r="E118" i="1"/>
  <c r="D118" i="1"/>
  <c r="L118" i="1" s="1"/>
  <c r="C107" i="1"/>
  <c r="I107" i="1"/>
  <c r="J107" i="1"/>
  <c r="K77" i="1"/>
  <c r="K65" i="1"/>
  <c r="K50" i="1"/>
  <c r="K28" i="1"/>
  <c r="K22" i="1"/>
  <c r="K54" i="1"/>
  <c r="K55" i="1" s="1"/>
  <c r="K42" i="1"/>
  <c r="K83" i="1"/>
  <c r="J14" i="1"/>
  <c r="L107" i="1"/>
  <c r="K107" i="1"/>
  <c r="H107" i="1"/>
  <c r="G107" i="1"/>
  <c r="F107" i="1"/>
  <c r="E107" i="1"/>
  <c r="D107" i="1"/>
  <c r="H54" i="1"/>
  <c r="G54" i="1"/>
  <c r="F54" i="1"/>
  <c r="E54" i="1"/>
  <c r="D54" i="1"/>
  <c r="L54" i="1" s="1"/>
  <c r="D65" i="1"/>
  <c r="L65" i="1" s="1"/>
  <c r="E65" i="1"/>
  <c r="F65" i="1"/>
  <c r="G65" i="1"/>
  <c r="I65" i="1"/>
  <c r="J22" i="1"/>
  <c r="D135" i="1" l="1"/>
  <c r="K15" i="1"/>
  <c r="K29" i="1" s="1"/>
  <c r="J15" i="1"/>
  <c r="J29" i="1" s="1"/>
  <c r="K69" i="1"/>
  <c r="K84" i="1" s="1"/>
  <c r="K56" i="1"/>
  <c r="C234" i="2" l="1"/>
  <c r="N233" i="2"/>
  <c r="M233" i="2"/>
  <c r="L233" i="2"/>
  <c r="K233" i="2"/>
  <c r="H233" i="2"/>
  <c r="H234" i="2" s="1"/>
  <c r="G233" i="2"/>
  <c r="F233" i="2"/>
  <c r="E233" i="2"/>
  <c r="D233" i="2"/>
  <c r="O232" i="2"/>
  <c r="N232" i="2"/>
  <c r="M232" i="2"/>
  <c r="L232" i="2"/>
  <c r="L234" i="2" s="1"/>
  <c r="K232" i="2"/>
  <c r="H232" i="2"/>
  <c r="G232" i="2"/>
  <c r="F232" i="2"/>
  <c r="E232" i="2"/>
  <c r="D232" i="2"/>
  <c r="G231" i="2"/>
  <c r="O228" i="2"/>
  <c r="N228" i="2"/>
  <c r="M228" i="2"/>
  <c r="M234" i="2" s="1"/>
  <c r="L228" i="2"/>
  <c r="K228" i="2"/>
  <c r="J228" i="2"/>
  <c r="J234" i="2" s="1"/>
  <c r="I228" i="2"/>
  <c r="I234" i="2" s="1"/>
  <c r="H228" i="2"/>
  <c r="G228" i="2"/>
  <c r="F228" i="2"/>
  <c r="E228" i="2"/>
  <c r="D228" i="2"/>
  <c r="C226" i="2"/>
  <c r="O225" i="2"/>
  <c r="N225" i="2"/>
  <c r="M225" i="2"/>
  <c r="L225" i="2"/>
  <c r="K225" i="2"/>
  <c r="J225" i="2"/>
  <c r="J226" i="2" s="1"/>
  <c r="I225" i="2"/>
  <c r="H225" i="2"/>
  <c r="G225" i="2"/>
  <c r="F225" i="2"/>
  <c r="F226" i="2" s="1"/>
  <c r="E225" i="2"/>
  <c r="E226" i="2" s="1"/>
  <c r="D225" i="2"/>
  <c r="O223" i="2"/>
  <c r="N223" i="2"/>
  <c r="M223" i="2"/>
  <c r="L223" i="2"/>
  <c r="K223" i="2"/>
  <c r="H223" i="2"/>
  <c r="G223" i="2"/>
  <c r="F223" i="2"/>
  <c r="E223" i="2"/>
  <c r="D223" i="2"/>
  <c r="O222" i="2"/>
  <c r="N222" i="2"/>
  <c r="M222" i="2"/>
  <c r="L222" i="2"/>
  <c r="K222" i="2"/>
  <c r="J222" i="2"/>
  <c r="I222" i="2"/>
  <c r="H222" i="2"/>
  <c r="G222" i="2"/>
  <c r="E222" i="2"/>
  <c r="D222" i="2"/>
  <c r="O221" i="2"/>
  <c r="N221" i="2"/>
  <c r="M221" i="2"/>
  <c r="L221" i="2"/>
  <c r="K221" i="2"/>
  <c r="I221" i="2"/>
  <c r="G221" i="2"/>
  <c r="F221" i="2"/>
  <c r="E221" i="2"/>
  <c r="D221" i="2"/>
  <c r="O220" i="2"/>
  <c r="N220" i="2"/>
  <c r="M220" i="2"/>
  <c r="K220" i="2"/>
  <c r="J220" i="2"/>
  <c r="I220" i="2"/>
  <c r="H220" i="2"/>
  <c r="H226" i="2" s="1"/>
  <c r="G220" i="2"/>
  <c r="F220" i="2"/>
  <c r="E220" i="2"/>
  <c r="D220" i="2"/>
  <c r="C212" i="2"/>
  <c r="N211" i="2"/>
  <c r="M211" i="2"/>
  <c r="L211" i="2"/>
  <c r="K211" i="2"/>
  <c r="H211" i="2"/>
  <c r="H212" i="2" s="1"/>
  <c r="G211" i="2"/>
  <c r="F211" i="2"/>
  <c r="E211" i="2"/>
  <c r="D211" i="2"/>
  <c r="O210" i="2"/>
  <c r="N210" i="2"/>
  <c r="M210" i="2"/>
  <c r="L210" i="2"/>
  <c r="K210" i="2"/>
  <c r="H210" i="2"/>
  <c r="G210" i="2"/>
  <c r="F210" i="2"/>
  <c r="E210" i="2"/>
  <c r="D210" i="2"/>
  <c r="O207" i="2"/>
  <c r="N207" i="2"/>
  <c r="M207" i="2"/>
  <c r="L207" i="2"/>
  <c r="K207" i="2"/>
  <c r="J207" i="2"/>
  <c r="J212" i="2" s="1"/>
  <c r="I207" i="2"/>
  <c r="H207" i="2"/>
  <c r="G207" i="2"/>
  <c r="F207" i="2"/>
  <c r="E207" i="2"/>
  <c r="D207" i="2"/>
  <c r="N206" i="2"/>
  <c r="M206" i="2"/>
  <c r="K206" i="2"/>
  <c r="I206" i="2"/>
  <c r="H206" i="2"/>
  <c r="G206" i="2"/>
  <c r="F206" i="2"/>
  <c r="E206" i="2"/>
  <c r="E212" i="2" s="1"/>
  <c r="D206" i="2"/>
  <c r="O205" i="2"/>
  <c r="N205" i="2"/>
  <c r="M205" i="2"/>
  <c r="L205" i="2"/>
  <c r="K205" i="2"/>
  <c r="I205" i="2"/>
  <c r="H205" i="2"/>
  <c r="G205" i="2"/>
  <c r="F205" i="2"/>
  <c r="E205" i="2"/>
  <c r="D205" i="2"/>
  <c r="C203" i="2"/>
  <c r="O202" i="2"/>
  <c r="N202" i="2"/>
  <c r="M202" i="2"/>
  <c r="L202" i="2"/>
  <c r="K202" i="2"/>
  <c r="J202" i="2"/>
  <c r="J203" i="2" s="1"/>
  <c r="I202" i="2"/>
  <c r="I203" i="2" s="1"/>
  <c r="H202" i="2"/>
  <c r="G202" i="2"/>
  <c r="F202" i="2"/>
  <c r="E202" i="2"/>
  <c r="D202" i="2"/>
  <c r="O200" i="2"/>
  <c r="N200" i="2"/>
  <c r="M200" i="2"/>
  <c r="L200" i="2"/>
  <c r="L203" i="2" s="1"/>
  <c r="K200" i="2"/>
  <c r="I200" i="2"/>
  <c r="G200" i="2"/>
  <c r="F200" i="2"/>
  <c r="E200" i="2"/>
  <c r="D200" i="2"/>
  <c r="O199" i="2"/>
  <c r="N199" i="2"/>
  <c r="N203" i="2" s="1"/>
  <c r="M199" i="2"/>
  <c r="L199" i="2"/>
  <c r="K199" i="2"/>
  <c r="H199" i="2"/>
  <c r="G199" i="2"/>
  <c r="F199" i="2"/>
  <c r="E199" i="2"/>
  <c r="D199" i="2"/>
  <c r="O197" i="2"/>
  <c r="M197" i="2"/>
  <c r="K197" i="2"/>
  <c r="H197" i="2"/>
  <c r="G197" i="2"/>
  <c r="F197" i="2"/>
  <c r="E197" i="2"/>
  <c r="D197" i="2"/>
  <c r="G196" i="2"/>
  <c r="F196" i="2"/>
  <c r="E196" i="2"/>
  <c r="D196" i="2"/>
  <c r="D203" i="2" s="1"/>
  <c r="C188" i="2"/>
  <c r="N187" i="2"/>
  <c r="M187" i="2"/>
  <c r="L187" i="2"/>
  <c r="K187" i="2"/>
  <c r="H187" i="2"/>
  <c r="G187" i="2"/>
  <c r="G188" i="2" s="1"/>
  <c r="F187" i="2"/>
  <c r="E187" i="2"/>
  <c r="D187" i="2"/>
  <c r="O186" i="2"/>
  <c r="N186" i="2"/>
  <c r="M186" i="2"/>
  <c r="L186" i="2"/>
  <c r="K186" i="2"/>
  <c r="K188" i="2" s="1"/>
  <c r="H186" i="2"/>
  <c r="G186" i="2"/>
  <c r="F186" i="2"/>
  <c r="E186" i="2"/>
  <c r="D186" i="2"/>
  <c r="O184" i="2"/>
  <c r="N184" i="2"/>
  <c r="N188" i="2" s="1"/>
  <c r="M184" i="2"/>
  <c r="M188" i="2" s="1"/>
  <c r="L184" i="2"/>
  <c r="K184" i="2"/>
  <c r="J184" i="2"/>
  <c r="J188" i="2" s="1"/>
  <c r="I184" i="2"/>
  <c r="I188" i="2" s="1"/>
  <c r="H184" i="2"/>
  <c r="G184" i="2"/>
  <c r="F184" i="2"/>
  <c r="E184" i="2"/>
  <c r="D184" i="2"/>
  <c r="G183" i="2"/>
  <c r="F183" i="2"/>
  <c r="F188" i="2" s="1"/>
  <c r="E183" i="2"/>
  <c r="E188" i="2" s="1"/>
  <c r="D183" i="2"/>
  <c r="C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O176" i="2"/>
  <c r="N176" i="2"/>
  <c r="M176" i="2"/>
  <c r="L176" i="2"/>
  <c r="K176" i="2"/>
  <c r="H176" i="2"/>
  <c r="G176" i="2"/>
  <c r="F176" i="2"/>
  <c r="E176" i="2"/>
  <c r="D176" i="2"/>
  <c r="O175" i="2"/>
  <c r="N175" i="2"/>
  <c r="M175" i="2"/>
  <c r="M180" i="2" s="1"/>
  <c r="L175" i="2"/>
  <c r="L180" i="2" s="1"/>
  <c r="K175" i="2"/>
  <c r="I175" i="2"/>
  <c r="G175" i="2"/>
  <c r="F175" i="2"/>
  <c r="F180" i="2" s="1"/>
  <c r="F189" i="2" s="1"/>
  <c r="E175" i="2"/>
  <c r="D175" i="2"/>
  <c r="O173" i="2"/>
  <c r="O180" i="2" s="1"/>
  <c r="N173" i="2"/>
  <c r="N180" i="2" s="1"/>
  <c r="N189" i="2" s="1"/>
  <c r="M173" i="2"/>
  <c r="K173" i="2"/>
  <c r="J173" i="2"/>
  <c r="I173" i="2"/>
  <c r="I180" i="2" s="1"/>
  <c r="I189" i="2" s="1"/>
  <c r="H173" i="2"/>
  <c r="G173" i="2"/>
  <c r="F173" i="2"/>
  <c r="D173" i="2"/>
  <c r="D180" i="2" s="1"/>
  <c r="C165" i="2"/>
  <c r="N164" i="2"/>
  <c r="M164" i="2"/>
  <c r="L164" i="2"/>
  <c r="K164" i="2"/>
  <c r="H164" i="2"/>
  <c r="G164" i="2"/>
  <c r="F164" i="2"/>
  <c r="E164" i="2"/>
  <c r="D164" i="2"/>
  <c r="O163" i="2"/>
  <c r="N163" i="2"/>
  <c r="M163" i="2"/>
  <c r="L163" i="2"/>
  <c r="K163" i="2"/>
  <c r="H163" i="2"/>
  <c r="G163" i="2"/>
  <c r="F163" i="2"/>
  <c r="E163" i="2"/>
  <c r="D163" i="2"/>
  <c r="O161" i="2"/>
  <c r="O165" i="2" s="1"/>
  <c r="N161" i="2"/>
  <c r="M161" i="2"/>
  <c r="L161" i="2"/>
  <c r="K161" i="2"/>
  <c r="I161" i="2"/>
  <c r="H161" i="2"/>
  <c r="G161" i="2"/>
  <c r="F161" i="2"/>
  <c r="E161" i="2"/>
  <c r="D161" i="2"/>
  <c r="O158" i="2"/>
  <c r="N158" i="2"/>
  <c r="M158" i="2"/>
  <c r="M165" i="2" s="1"/>
  <c r="L158" i="2"/>
  <c r="K158" i="2"/>
  <c r="J158" i="2"/>
  <c r="J165" i="2" s="1"/>
  <c r="I158" i="2"/>
  <c r="I165" i="2" s="1"/>
  <c r="H158" i="2"/>
  <c r="H165" i="2" s="1"/>
  <c r="G158" i="2"/>
  <c r="G165" i="2" s="1"/>
  <c r="G166" i="2" s="1"/>
  <c r="F158" i="2"/>
  <c r="E158" i="2"/>
  <c r="D158" i="2"/>
  <c r="I156" i="2"/>
  <c r="I166" i="2" s="1"/>
  <c r="C156" i="2"/>
  <c r="O155" i="2"/>
  <c r="N155" i="2"/>
  <c r="M155" i="2"/>
  <c r="L155" i="2"/>
  <c r="K155" i="2"/>
  <c r="J155" i="2"/>
  <c r="I155" i="2"/>
  <c r="G155" i="2"/>
  <c r="F155" i="2"/>
  <c r="E155" i="2"/>
  <c r="D155" i="2"/>
  <c r="O153" i="2"/>
  <c r="N153" i="2"/>
  <c r="M153" i="2"/>
  <c r="L153" i="2"/>
  <c r="K153" i="2"/>
  <c r="H153" i="2"/>
  <c r="G153" i="2"/>
  <c r="F153" i="2"/>
  <c r="E153" i="2"/>
  <c r="D153" i="2"/>
  <c r="O152" i="2"/>
  <c r="N152" i="2"/>
  <c r="M152" i="2"/>
  <c r="L152" i="2"/>
  <c r="K152" i="2"/>
  <c r="I152" i="2"/>
  <c r="G152" i="2"/>
  <c r="F152" i="2"/>
  <c r="E152" i="2"/>
  <c r="D152" i="2"/>
  <c r="O151" i="2"/>
  <c r="N151" i="2"/>
  <c r="M151" i="2"/>
  <c r="M156" i="2" s="1"/>
  <c r="L151" i="2"/>
  <c r="K151" i="2"/>
  <c r="J151" i="2"/>
  <c r="I151" i="2"/>
  <c r="H151" i="2"/>
  <c r="G151" i="2"/>
  <c r="F151" i="2"/>
  <c r="F156" i="2" s="1"/>
  <c r="E151" i="2"/>
  <c r="E156" i="2" s="1"/>
  <c r="D151" i="2"/>
  <c r="I143" i="2"/>
  <c r="C143" i="2"/>
  <c r="N142" i="2"/>
  <c r="M142" i="2"/>
  <c r="L142" i="2"/>
  <c r="K142" i="2"/>
  <c r="H142" i="2"/>
  <c r="G142" i="2"/>
  <c r="F142" i="2"/>
  <c r="E142" i="2"/>
  <c r="D142" i="2"/>
  <c r="O141" i="2"/>
  <c r="N141" i="2"/>
  <c r="M141" i="2"/>
  <c r="L141" i="2"/>
  <c r="K141" i="2"/>
  <c r="H141" i="2"/>
  <c r="G141" i="2"/>
  <c r="F141" i="2"/>
  <c r="E141" i="2"/>
  <c r="D141" i="2"/>
  <c r="O139" i="2"/>
  <c r="N139" i="2"/>
  <c r="M139" i="2"/>
  <c r="L139" i="2"/>
  <c r="K139" i="2"/>
  <c r="I139" i="2"/>
  <c r="H139" i="2"/>
  <c r="G139" i="2"/>
  <c r="F139" i="2"/>
  <c r="E139" i="2"/>
  <c r="D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O137" i="2"/>
  <c r="N137" i="2"/>
  <c r="M137" i="2"/>
  <c r="L137" i="2"/>
  <c r="K137" i="2"/>
  <c r="J137" i="2"/>
  <c r="J143" i="2" s="1"/>
  <c r="I137" i="2"/>
  <c r="H137" i="2"/>
  <c r="G137" i="2"/>
  <c r="F137" i="2"/>
  <c r="E137" i="2"/>
  <c r="D137" i="2"/>
  <c r="C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H133" i="2"/>
  <c r="G133" i="2"/>
  <c r="F133" i="2"/>
  <c r="F135" i="2" s="1"/>
  <c r="E133" i="2"/>
  <c r="D133" i="2"/>
  <c r="O132" i="2"/>
  <c r="N132" i="2"/>
  <c r="M132" i="2"/>
  <c r="L132" i="2"/>
  <c r="K132" i="2"/>
  <c r="I132" i="2"/>
  <c r="G132" i="2"/>
  <c r="F132" i="2"/>
  <c r="E132" i="2"/>
  <c r="D132" i="2"/>
  <c r="O131" i="2"/>
  <c r="N131" i="2"/>
  <c r="M131" i="2"/>
  <c r="L131" i="2"/>
  <c r="L135" i="2" s="1"/>
  <c r="K131" i="2"/>
  <c r="J131" i="2"/>
  <c r="J135" i="2" s="1"/>
  <c r="I131" i="2"/>
  <c r="H131" i="2"/>
  <c r="G131" i="2"/>
  <c r="E131" i="2"/>
  <c r="D131" i="2"/>
  <c r="J114" i="2"/>
  <c r="C114" i="2"/>
  <c r="N113" i="2"/>
  <c r="M113" i="2"/>
  <c r="L113" i="2"/>
  <c r="K113" i="2"/>
  <c r="H113" i="2"/>
  <c r="G113" i="2"/>
  <c r="F113" i="2"/>
  <c r="E113" i="2"/>
  <c r="D113" i="2"/>
  <c r="O112" i="2"/>
  <c r="N112" i="2"/>
  <c r="M112" i="2"/>
  <c r="L112" i="2"/>
  <c r="K112" i="2"/>
  <c r="H112" i="2"/>
  <c r="G112" i="2"/>
  <c r="F112" i="2"/>
  <c r="E112" i="2"/>
  <c r="D112" i="2"/>
  <c r="O110" i="2"/>
  <c r="M110" i="2"/>
  <c r="K110" i="2"/>
  <c r="H110" i="2"/>
  <c r="G110" i="2"/>
  <c r="F110" i="2"/>
  <c r="E110" i="2"/>
  <c r="D110" i="2"/>
  <c r="O109" i="2"/>
  <c r="N109" i="2"/>
  <c r="M109" i="2"/>
  <c r="L109" i="2"/>
  <c r="L114" i="2" s="1"/>
  <c r="K109" i="2"/>
  <c r="I109" i="2"/>
  <c r="H109" i="2"/>
  <c r="G109" i="2"/>
  <c r="F109" i="2"/>
  <c r="E109" i="2"/>
  <c r="D109" i="2"/>
  <c r="O108" i="2"/>
  <c r="N108" i="2"/>
  <c r="N114" i="2" s="1"/>
  <c r="M108" i="2"/>
  <c r="K108" i="2"/>
  <c r="I108" i="2"/>
  <c r="H108" i="2"/>
  <c r="G108" i="2"/>
  <c r="F108" i="2"/>
  <c r="E108" i="2"/>
  <c r="D108" i="2"/>
  <c r="N107" i="2"/>
  <c r="M107" i="2"/>
  <c r="K107" i="2"/>
  <c r="I107" i="2"/>
  <c r="H107" i="2"/>
  <c r="G107" i="2"/>
  <c r="F107" i="2"/>
  <c r="E107" i="2"/>
  <c r="D107" i="2"/>
  <c r="O106" i="2"/>
  <c r="N106" i="2"/>
  <c r="M106" i="2"/>
  <c r="M114" i="2" s="1"/>
  <c r="K106" i="2"/>
  <c r="J106" i="2"/>
  <c r="I106" i="2"/>
  <c r="H106" i="2"/>
  <c r="H114" i="2" s="1"/>
  <c r="G106" i="2"/>
  <c r="F106" i="2"/>
  <c r="E106" i="2"/>
  <c r="D106" i="2"/>
  <c r="D114" i="2" s="1"/>
  <c r="C104" i="2"/>
  <c r="O103" i="2"/>
  <c r="N103" i="2"/>
  <c r="M103" i="2"/>
  <c r="L103" i="2"/>
  <c r="K103" i="2"/>
  <c r="J103" i="2"/>
  <c r="I103" i="2"/>
  <c r="G103" i="2"/>
  <c r="F103" i="2"/>
  <c r="E103" i="2"/>
  <c r="D103" i="2"/>
  <c r="O101" i="2"/>
  <c r="N101" i="2"/>
  <c r="M101" i="2"/>
  <c r="L101" i="2"/>
  <c r="K101" i="2"/>
  <c r="H101" i="2"/>
  <c r="G101" i="2"/>
  <c r="F101" i="2"/>
  <c r="E101" i="2"/>
  <c r="E104" i="2" s="1"/>
  <c r="D101" i="2"/>
  <c r="O100" i="2"/>
  <c r="N100" i="2"/>
  <c r="M100" i="2"/>
  <c r="L100" i="2"/>
  <c r="K100" i="2"/>
  <c r="I100" i="2"/>
  <c r="G100" i="2"/>
  <c r="F100" i="2"/>
  <c r="E100" i="2"/>
  <c r="D100" i="2"/>
  <c r="O99" i="2"/>
  <c r="N99" i="2"/>
  <c r="M99" i="2"/>
  <c r="L99" i="2"/>
  <c r="K99" i="2"/>
  <c r="J99" i="2"/>
  <c r="I99" i="2"/>
  <c r="H99" i="2"/>
  <c r="H104" i="2" s="1"/>
  <c r="G99" i="2"/>
  <c r="F99" i="2"/>
  <c r="E99" i="2"/>
  <c r="D99" i="2"/>
  <c r="D104" i="2" s="1"/>
  <c r="N91" i="2"/>
  <c r="C91" i="2"/>
  <c r="N90" i="2"/>
  <c r="M90" i="2"/>
  <c r="L90" i="2"/>
  <c r="K90" i="2"/>
  <c r="H90" i="2"/>
  <c r="G90" i="2"/>
  <c r="F90" i="2"/>
  <c r="E90" i="2"/>
  <c r="D90" i="2"/>
  <c r="O89" i="2"/>
  <c r="N89" i="2"/>
  <c r="M89" i="2"/>
  <c r="L89" i="2"/>
  <c r="L91" i="2" s="1"/>
  <c r="K89" i="2"/>
  <c r="H89" i="2"/>
  <c r="G89" i="2"/>
  <c r="F89" i="2"/>
  <c r="E89" i="2"/>
  <c r="D89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K86" i="2"/>
  <c r="I86" i="2"/>
  <c r="H86" i="2"/>
  <c r="G86" i="2"/>
  <c r="F86" i="2"/>
  <c r="E86" i="2"/>
  <c r="D86" i="2"/>
  <c r="M85" i="2"/>
  <c r="L85" i="2"/>
  <c r="K85" i="2"/>
  <c r="H85" i="2"/>
  <c r="G85" i="2"/>
  <c r="G91" i="2" s="1"/>
  <c r="F85" i="2"/>
  <c r="E85" i="2"/>
  <c r="D85" i="2"/>
  <c r="O84" i="2"/>
  <c r="N84" i="2"/>
  <c r="M84" i="2"/>
  <c r="K84" i="2"/>
  <c r="J84" i="2"/>
  <c r="J91" i="2" s="1"/>
  <c r="I84" i="2"/>
  <c r="H84" i="2"/>
  <c r="G84" i="2"/>
  <c r="F84" i="2"/>
  <c r="F91" i="2" s="1"/>
  <c r="E84" i="2"/>
  <c r="D84" i="2"/>
  <c r="J82" i="2"/>
  <c r="C82" i="2"/>
  <c r="O80" i="2"/>
  <c r="N80" i="2"/>
  <c r="M80" i="2"/>
  <c r="L80" i="2"/>
  <c r="K80" i="2"/>
  <c r="I80" i="2"/>
  <c r="G80" i="2"/>
  <c r="F80" i="2"/>
  <c r="F82" i="2" s="1"/>
  <c r="E80" i="2"/>
  <c r="D80" i="2"/>
  <c r="O79" i="2"/>
  <c r="O82" i="2" s="1"/>
  <c r="O92" i="2" s="1"/>
  <c r="N79" i="2"/>
  <c r="N82" i="2" s="1"/>
  <c r="M79" i="2"/>
  <c r="L79" i="2"/>
  <c r="K79" i="2"/>
  <c r="K82" i="2" s="1"/>
  <c r="H79" i="2"/>
  <c r="G79" i="2"/>
  <c r="F79" i="2"/>
  <c r="E79" i="2"/>
  <c r="D79" i="2"/>
  <c r="O77" i="2"/>
  <c r="N77" i="2"/>
  <c r="M77" i="2"/>
  <c r="M82" i="2" s="1"/>
  <c r="L77" i="2"/>
  <c r="L82" i="2" s="1"/>
  <c r="L92" i="2" s="1"/>
  <c r="K77" i="2"/>
  <c r="J77" i="2"/>
  <c r="I77" i="2"/>
  <c r="I82" i="2" s="1"/>
  <c r="H77" i="2"/>
  <c r="H82" i="2" s="1"/>
  <c r="H92" i="2" s="1"/>
  <c r="G77" i="2"/>
  <c r="F77" i="2"/>
  <c r="E77" i="2"/>
  <c r="E82" i="2" s="1"/>
  <c r="D77" i="2"/>
  <c r="D82" i="2" s="1"/>
  <c r="C70" i="2"/>
  <c r="N69" i="2"/>
  <c r="M69" i="2"/>
  <c r="L69" i="2"/>
  <c r="K69" i="2"/>
  <c r="H69" i="2"/>
  <c r="G69" i="2"/>
  <c r="F69" i="2"/>
  <c r="E69" i="2"/>
  <c r="D69" i="2"/>
  <c r="O68" i="2"/>
  <c r="N68" i="2"/>
  <c r="M68" i="2"/>
  <c r="L68" i="2"/>
  <c r="K68" i="2"/>
  <c r="H68" i="2"/>
  <c r="G68" i="2"/>
  <c r="F68" i="2"/>
  <c r="E68" i="2"/>
  <c r="D68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K64" i="2"/>
  <c r="J64" i="2"/>
  <c r="I64" i="2"/>
  <c r="H64" i="2"/>
  <c r="G64" i="2"/>
  <c r="F64" i="2"/>
  <c r="E64" i="2"/>
  <c r="D64" i="2"/>
  <c r="O63" i="2"/>
  <c r="N63" i="2"/>
  <c r="M63" i="2"/>
  <c r="M70" i="2" s="1"/>
  <c r="L63" i="2"/>
  <c r="L70" i="2" s="1"/>
  <c r="K63" i="2"/>
  <c r="J63" i="2"/>
  <c r="J70" i="2" s="1"/>
  <c r="I63" i="2"/>
  <c r="I70" i="2" s="1"/>
  <c r="H63" i="2"/>
  <c r="G63" i="2"/>
  <c r="F63" i="2"/>
  <c r="E63" i="2"/>
  <c r="E70" i="2" s="1"/>
  <c r="D63" i="2"/>
  <c r="C61" i="2"/>
  <c r="O60" i="2"/>
  <c r="N60" i="2"/>
  <c r="M60" i="2"/>
  <c r="L60" i="2"/>
  <c r="K60" i="2"/>
  <c r="J60" i="2"/>
  <c r="I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E59" i="2"/>
  <c r="D59" i="2"/>
  <c r="O58" i="2"/>
  <c r="N58" i="2"/>
  <c r="M58" i="2"/>
  <c r="L58" i="2"/>
  <c r="K58" i="2"/>
  <c r="H58" i="2"/>
  <c r="H61" i="2" s="1"/>
  <c r="H71" i="2" s="1"/>
  <c r="G58" i="2"/>
  <c r="F58" i="2"/>
  <c r="E58" i="2"/>
  <c r="D58" i="2"/>
  <c r="O57" i="2"/>
  <c r="N57" i="2"/>
  <c r="N61" i="2" s="1"/>
  <c r="M57" i="2"/>
  <c r="L57" i="2"/>
  <c r="K57" i="2"/>
  <c r="I57" i="2"/>
  <c r="G57" i="2"/>
  <c r="F57" i="2"/>
  <c r="E57" i="2"/>
  <c r="D57" i="2"/>
  <c r="G55" i="2"/>
  <c r="F55" i="2"/>
  <c r="E55" i="2"/>
  <c r="D55" i="2"/>
  <c r="C47" i="2"/>
  <c r="N46" i="2"/>
  <c r="M46" i="2"/>
  <c r="L46" i="2"/>
  <c r="K46" i="2"/>
  <c r="H46" i="2"/>
  <c r="G46" i="2"/>
  <c r="F46" i="2"/>
  <c r="E46" i="2"/>
  <c r="D46" i="2"/>
  <c r="O45" i="2"/>
  <c r="N45" i="2"/>
  <c r="M45" i="2"/>
  <c r="L45" i="2"/>
  <c r="K45" i="2"/>
  <c r="H45" i="2"/>
  <c r="G45" i="2"/>
  <c r="F45" i="2"/>
  <c r="E45" i="2"/>
  <c r="D45" i="2"/>
  <c r="O43" i="2"/>
  <c r="O47" i="2" s="1"/>
  <c r="N43" i="2"/>
  <c r="M43" i="2"/>
  <c r="L43" i="2"/>
  <c r="K43" i="2"/>
  <c r="I43" i="2"/>
  <c r="H43" i="2"/>
  <c r="G43" i="2"/>
  <c r="F43" i="2"/>
  <c r="E43" i="2"/>
  <c r="D43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K47" i="2" s="1"/>
  <c r="J40" i="2"/>
  <c r="J47" i="2" s="1"/>
  <c r="I40" i="2"/>
  <c r="I47" i="2" s="1"/>
  <c r="H40" i="2"/>
  <c r="G40" i="2"/>
  <c r="F40" i="2"/>
  <c r="F47" i="2" s="1"/>
  <c r="E40" i="2"/>
  <c r="D40" i="2"/>
  <c r="C38" i="2"/>
  <c r="O37" i="2"/>
  <c r="N37" i="2"/>
  <c r="M37" i="2"/>
  <c r="L37" i="2"/>
  <c r="K37" i="2"/>
  <c r="J37" i="2"/>
  <c r="J38" i="2" s="1"/>
  <c r="I37" i="2"/>
  <c r="H37" i="2"/>
  <c r="G37" i="2"/>
  <c r="F37" i="2"/>
  <c r="E37" i="2"/>
  <c r="D37" i="2"/>
  <c r="O36" i="2"/>
  <c r="N36" i="2"/>
  <c r="M36" i="2"/>
  <c r="M38" i="2" s="1"/>
  <c r="L36" i="2"/>
  <c r="K36" i="2"/>
  <c r="H36" i="2"/>
  <c r="G36" i="2"/>
  <c r="F36" i="2"/>
  <c r="E36" i="2"/>
  <c r="D36" i="2"/>
  <c r="O35" i="2"/>
  <c r="O38" i="2" s="1"/>
  <c r="O48" i="2" s="1"/>
  <c r="N35" i="2"/>
  <c r="N38" i="2" s="1"/>
  <c r="M35" i="2"/>
  <c r="L35" i="2"/>
  <c r="K35" i="2"/>
  <c r="K38" i="2" s="1"/>
  <c r="K48" i="2" s="1"/>
  <c r="I35" i="2"/>
  <c r="G35" i="2"/>
  <c r="F35" i="2"/>
  <c r="E35" i="2"/>
  <c r="E38" i="2" s="1"/>
  <c r="D35" i="2"/>
  <c r="D38" i="2" s="1"/>
  <c r="D48" i="2" s="1"/>
  <c r="C25" i="2"/>
  <c r="N24" i="2"/>
  <c r="M24" i="2"/>
  <c r="L24" i="2"/>
  <c r="K24" i="2"/>
  <c r="H24" i="2"/>
  <c r="G24" i="2"/>
  <c r="F24" i="2"/>
  <c r="E24" i="2"/>
  <c r="D24" i="2"/>
  <c r="O23" i="2"/>
  <c r="N23" i="2"/>
  <c r="M23" i="2"/>
  <c r="L23" i="2"/>
  <c r="K23" i="2"/>
  <c r="H23" i="2"/>
  <c r="G23" i="2"/>
  <c r="F23" i="2"/>
  <c r="E23" i="2"/>
  <c r="D23" i="2"/>
  <c r="O21" i="2"/>
  <c r="N21" i="2"/>
  <c r="M21" i="2"/>
  <c r="L21" i="2"/>
  <c r="K21" i="2"/>
  <c r="I21" i="2"/>
  <c r="G21" i="2"/>
  <c r="H21" i="2" s="1"/>
  <c r="F21" i="2"/>
  <c r="E21" i="2"/>
  <c r="D21" i="2"/>
  <c r="O20" i="2"/>
  <c r="N20" i="2"/>
  <c r="M20" i="2"/>
  <c r="L20" i="2"/>
  <c r="K20" i="2"/>
  <c r="I20" i="2"/>
  <c r="H20" i="2"/>
  <c r="G20" i="2"/>
  <c r="F20" i="2"/>
  <c r="E20" i="2"/>
  <c r="D20" i="2"/>
  <c r="M19" i="2"/>
  <c r="L19" i="2"/>
  <c r="K19" i="2"/>
  <c r="H19" i="2"/>
  <c r="G19" i="2"/>
  <c r="F19" i="2"/>
  <c r="E19" i="2"/>
  <c r="D19" i="2"/>
  <c r="O18" i="2"/>
  <c r="N18" i="2"/>
  <c r="N25" i="2" s="1"/>
  <c r="M18" i="2"/>
  <c r="K18" i="2"/>
  <c r="J18" i="2"/>
  <c r="J25" i="2" s="1"/>
  <c r="J118" i="2" s="1"/>
  <c r="I18" i="2"/>
  <c r="I25" i="2" s="1"/>
  <c r="H18" i="2"/>
  <c r="G18" i="2"/>
  <c r="F18" i="2"/>
  <c r="E18" i="2"/>
  <c r="E25" i="2" s="1"/>
  <c r="D18" i="2"/>
  <c r="C16" i="2"/>
  <c r="O15" i="2"/>
  <c r="N15" i="2"/>
  <c r="M15" i="2"/>
  <c r="L15" i="2"/>
  <c r="K15" i="2"/>
  <c r="J15" i="2"/>
  <c r="I15" i="2"/>
  <c r="G15" i="2"/>
  <c r="G16" i="2" s="1"/>
  <c r="F15" i="2"/>
  <c r="F16" i="2" s="1"/>
  <c r="E15" i="2"/>
  <c r="D15" i="2"/>
  <c r="O13" i="2"/>
  <c r="N13" i="2"/>
  <c r="N16" i="2" s="1"/>
  <c r="M13" i="2"/>
  <c r="L13" i="2"/>
  <c r="K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E12" i="2"/>
  <c r="D12" i="2"/>
  <c r="O11" i="2"/>
  <c r="O16" i="2" s="1"/>
  <c r="N11" i="2"/>
  <c r="M11" i="2"/>
  <c r="L11" i="2"/>
  <c r="K11" i="2"/>
  <c r="K16" i="2" s="1"/>
  <c r="I11" i="2"/>
  <c r="G11" i="2"/>
  <c r="F11" i="2"/>
  <c r="E11" i="2"/>
  <c r="D11" i="2"/>
  <c r="O9" i="2"/>
  <c r="N9" i="2"/>
  <c r="M9" i="2"/>
  <c r="M16" i="2" s="1"/>
  <c r="K9" i="2"/>
  <c r="J9" i="2"/>
  <c r="J16" i="2" s="1"/>
  <c r="I9" i="2"/>
  <c r="I16" i="2" s="1"/>
  <c r="H9" i="2"/>
  <c r="H16" i="2" s="1"/>
  <c r="G9" i="2"/>
  <c r="F9" i="2"/>
  <c r="E9" i="2"/>
  <c r="D9" i="2"/>
  <c r="D16" i="2" s="1"/>
  <c r="C270" i="1"/>
  <c r="J270" i="1"/>
  <c r="I270" i="1"/>
  <c r="C263" i="1"/>
  <c r="C245" i="1"/>
  <c r="J245" i="1"/>
  <c r="C217" i="1"/>
  <c r="J217" i="1"/>
  <c r="I217" i="1"/>
  <c r="C190" i="1"/>
  <c r="J190" i="1"/>
  <c r="C182" i="1"/>
  <c r="C163" i="1"/>
  <c r="C155" i="1"/>
  <c r="L152" i="1"/>
  <c r="K152" i="1"/>
  <c r="I152" i="1"/>
  <c r="G152" i="1"/>
  <c r="F152" i="1"/>
  <c r="E152" i="1"/>
  <c r="D152" i="1"/>
  <c r="C129" i="1"/>
  <c r="J129" i="1"/>
  <c r="C121" i="1"/>
  <c r="C102" i="1"/>
  <c r="C95" i="1"/>
  <c r="J95" i="1"/>
  <c r="C77" i="1"/>
  <c r="E71" i="1"/>
  <c r="C69" i="1"/>
  <c r="J67" i="1"/>
  <c r="I67" i="1"/>
  <c r="H67" i="1"/>
  <c r="G67" i="1"/>
  <c r="E67" i="1"/>
  <c r="D67" i="1"/>
  <c r="L67" i="1" s="1"/>
  <c r="C50" i="1"/>
  <c r="C42" i="1"/>
  <c r="J42" i="1"/>
  <c r="C22" i="1"/>
  <c r="C15" i="1"/>
  <c r="I14" i="1"/>
  <c r="G14" i="1"/>
  <c r="F14" i="1"/>
  <c r="E14" i="1"/>
  <c r="D14" i="1"/>
  <c r="L14" i="1" s="1"/>
  <c r="G13" i="1"/>
  <c r="F13" i="1"/>
  <c r="C136" i="1" l="1"/>
  <c r="C169" i="1"/>
  <c r="L22" i="1"/>
  <c r="L69" i="1"/>
  <c r="L84" i="1" s="1"/>
  <c r="L278" i="1" s="1"/>
  <c r="L280" i="1" s="1"/>
  <c r="L42" i="1"/>
  <c r="L50" i="1"/>
  <c r="L15" i="1"/>
  <c r="J50" i="1"/>
  <c r="J56" i="1" s="1"/>
  <c r="J163" i="1"/>
  <c r="I50" i="1"/>
  <c r="H95" i="1"/>
  <c r="H108" i="1" s="1"/>
  <c r="I163" i="1"/>
  <c r="J155" i="1"/>
  <c r="J169" i="1" s="1"/>
  <c r="H15" i="1"/>
  <c r="H29" i="1" s="1"/>
  <c r="J69" i="1"/>
  <c r="J121" i="1"/>
  <c r="J136" i="1" s="1"/>
  <c r="J182" i="1"/>
  <c r="J197" i="1" s="1"/>
  <c r="H42" i="1"/>
  <c r="E95" i="1"/>
  <c r="G121" i="1"/>
  <c r="E270" i="1"/>
  <c r="G217" i="1"/>
  <c r="G224" i="1" s="1"/>
  <c r="L217" i="1"/>
  <c r="J263" i="1"/>
  <c r="J276" i="1" s="1"/>
  <c r="F42" i="1"/>
  <c r="L182" i="1"/>
  <c r="I155" i="1"/>
  <c r="I190" i="1"/>
  <c r="F263" i="1"/>
  <c r="L263" i="1"/>
  <c r="H263" i="1"/>
  <c r="E22" i="1"/>
  <c r="F121" i="1"/>
  <c r="L129" i="1"/>
  <c r="F155" i="1"/>
  <c r="H182" i="1"/>
  <c r="D217" i="1"/>
  <c r="D224" i="1" s="1"/>
  <c r="H217" i="1"/>
  <c r="H224" i="1" s="1"/>
  <c r="K217" i="1"/>
  <c r="F69" i="1"/>
  <c r="F84" i="1" s="1"/>
  <c r="F278" i="1" s="1"/>
  <c r="F280" i="1" s="1"/>
  <c r="H69" i="1"/>
  <c r="H84" i="1" s="1"/>
  <c r="E182" i="1"/>
  <c r="F163" i="1"/>
  <c r="F25" i="2"/>
  <c r="O25" i="2"/>
  <c r="O118" i="2" s="1"/>
  <c r="L25" i="2"/>
  <c r="K25" i="2"/>
  <c r="I38" i="2"/>
  <c r="I48" i="2" s="1"/>
  <c r="L212" i="2"/>
  <c r="L213" i="2" s="1"/>
  <c r="H203" i="2"/>
  <c r="H213" i="2" s="1"/>
  <c r="E16" i="2"/>
  <c r="L16" i="2"/>
  <c r="L26" i="2" s="1"/>
  <c r="N92" i="2"/>
  <c r="L104" i="2"/>
  <c r="L115" i="2" s="1"/>
  <c r="H115" i="2"/>
  <c r="F166" i="2"/>
  <c r="N156" i="2"/>
  <c r="F203" i="2"/>
  <c r="F237" i="2" s="1"/>
  <c r="D95" i="1"/>
  <c r="G102" i="1"/>
  <c r="F129" i="1"/>
  <c r="G129" i="1"/>
  <c r="E155" i="1"/>
  <c r="D263" i="1"/>
  <c r="F270" i="1"/>
  <c r="K70" i="2"/>
  <c r="O226" i="2"/>
  <c r="N47" i="2"/>
  <c r="N48" i="2" s="1"/>
  <c r="O114" i="2"/>
  <c r="F165" i="2"/>
  <c r="N165" i="2"/>
  <c r="J180" i="2"/>
  <c r="D226" i="2"/>
  <c r="M226" i="2"/>
  <c r="M235" i="2" s="1"/>
  <c r="G234" i="2"/>
  <c r="O234" i="2"/>
  <c r="E15" i="1"/>
  <c r="I15" i="1"/>
  <c r="F15" i="1"/>
  <c r="G22" i="1"/>
  <c r="G42" i="1"/>
  <c r="F50" i="1"/>
  <c r="G69" i="1"/>
  <c r="J77" i="1"/>
  <c r="F95" i="1"/>
  <c r="K95" i="1"/>
  <c r="I95" i="1"/>
  <c r="I102" i="1"/>
  <c r="I121" i="1"/>
  <c r="K155" i="1"/>
  <c r="F182" i="1"/>
  <c r="G190" i="1"/>
  <c r="G197" i="1" s="1"/>
  <c r="L190" i="1"/>
  <c r="K190" i="1"/>
  <c r="I210" i="1"/>
  <c r="I224" i="1" s="1"/>
  <c r="K210" i="1"/>
  <c r="K224" i="1" s="1"/>
  <c r="E217" i="1"/>
  <c r="E224" i="1" s="1"/>
  <c r="D245" i="1"/>
  <c r="H245" i="1"/>
  <c r="G25" i="2"/>
  <c r="F38" i="2"/>
  <c r="F48" i="2" s="1"/>
  <c r="L38" i="2"/>
  <c r="H38" i="2"/>
  <c r="I104" i="2"/>
  <c r="M104" i="2"/>
  <c r="M115" i="2" s="1"/>
  <c r="K104" i="2"/>
  <c r="G104" i="2"/>
  <c r="G115" i="2" s="1"/>
  <c r="D135" i="2"/>
  <c r="I135" i="2"/>
  <c r="I237" i="2" s="1"/>
  <c r="M135" i="2"/>
  <c r="K135" i="2"/>
  <c r="O135" i="2"/>
  <c r="D143" i="2"/>
  <c r="D144" i="2" s="1"/>
  <c r="H143" i="2"/>
  <c r="H144" i="2" s="1"/>
  <c r="L143" i="2"/>
  <c r="L144" i="2" s="1"/>
  <c r="E143" i="2"/>
  <c r="L165" i="2"/>
  <c r="D165" i="2"/>
  <c r="D212" i="2"/>
  <c r="D213" i="2" s="1"/>
  <c r="I226" i="2"/>
  <c r="I235" i="2" s="1"/>
  <c r="G226" i="2"/>
  <c r="J92" i="2"/>
  <c r="N143" i="2"/>
  <c r="J156" i="2"/>
  <c r="J166" i="2" s="1"/>
  <c r="O156" i="2"/>
  <c r="O237" i="2" s="1"/>
  <c r="K226" i="2"/>
  <c r="K235" i="2" s="1"/>
  <c r="J235" i="2"/>
  <c r="K234" i="2"/>
  <c r="F234" i="2"/>
  <c r="F235" i="2" s="1"/>
  <c r="E77" i="1"/>
  <c r="I77" i="1"/>
  <c r="G77" i="1"/>
  <c r="L95" i="1"/>
  <c r="L108" i="1" s="1"/>
  <c r="E121" i="1"/>
  <c r="E129" i="1"/>
  <c r="I129" i="1"/>
  <c r="K129" i="1"/>
  <c r="D155" i="1"/>
  <c r="G155" i="1"/>
  <c r="D163" i="1"/>
  <c r="H163" i="1"/>
  <c r="H169" i="1" s="1"/>
  <c r="K163" i="1"/>
  <c r="I182" i="1"/>
  <c r="I245" i="1"/>
  <c r="F245" i="1"/>
  <c r="E245" i="1"/>
  <c r="M25" i="2"/>
  <c r="H47" i="2"/>
  <c r="H118" i="2" s="1"/>
  <c r="L47" i="2"/>
  <c r="G47" i="2"/>
  <c r="G61" i="2"/>
  <c r="M61" i="2"/>
  <c r="M71" i="2" s="1"/>
  <c r="E61" i="2"/>
  <c r="K61" i="2"/>
  <c r="K71" i="2" s="1"/>
  <c r="D61" i="2"/>
  <c r="D71" i="2" s="1"/>
  <c r="I61" i="2"/>
  <c r="I71" i="2" s="1"/>
  <c r="G82" i="2"/>
  <c r="F104" i="2"/>
  <c r="G114" i="2"/>
  <c r="J144" i="2"/>
  <c r="F143" i="2"/>
  <c r="D156" i="2"/>
  <c r="D166" i="2" s="1"/>
  <c r="G203" i="2"/>
  <c r="O203" i="2"/>
  <c r="O213" i="2" s="1"/>
  <c r="M203" i="2"/>
  <c r="I212" i="2"/>
  <c r="I238" i="2" s="1"/>
  <c r="N212" i="2"/>
  <c r="N213" i="2" s="1"/>
  <c r="F212" i="2"/>
  <c r="E234" i="2"/>
  <c r="E235" i="2" s="1"/>
  <c r="G270" i="1"/>
  <c r="K263" i="1"/>
  <c r="K276" i="1" s="1"/>
  <c r="L245" i="1"/>
  <c r="F217" i="1"/>
  <c r="F224" i="1" s="1"/>
  <c r="L210" i="1"/>
  <c r="D190" i="1"/>
  <c r="E190" i="1"/>
  <c r="K182" i="1"/>
  <c r="D182" i="1"/>
  <c r="G163" i="1"/>
  <c r="D129" i="1"/>
  <c r="K121" i="1"/>
  <c r="H121" i="1"/>
  <c r="G95" i="1"/>
  <c r="D69" i="1"/>
  <c r="D278" i="1" s="1"/>
  <c r="D280" i="1" s="1"/>
  <c r="E69" i="1"/>
  <c r="I69" i="1"/>
  <c r="H50" i="1"/>
  <c r="G50" i="1"/>
  <c r="D42" i="1"/>
  <c r="D56" i="1" s="1"/>
  <c r="I42" i="1"/>
  <c r="F22" i="1"/>
  <c r="G15" i="1"/>
  <c r="H26" i="2"/>
  <c r="N26" i="2"/>
  <c r="E117" i="2"/>
  <c r="E26" i="2"/>
  <c r="I26" i="2"/>
  <c r="L117" i="2"/>
  <c r="G26" i="2"/>
  <c r="F118" i="2"/>
  <c r="M166" i="2"/>
  <c r="M189" i="2"/>
  <c r="D117" i="2"/>
  <c r="D26" i="2"/>
  <c r="K26" i="2"/>
  <c r="J48" i="2"/>
  <c r="I144" i="2"/>
  <c r="K144" i="2"/>
  <c r="J213" i="2"/>
  <c r="M26" i="2"/>
  <c r="F26" i="2"/>
  <c r="E71" i="2"/>
  <c r="G92" i="2"/>
  <c r="D115" i="2"/>
  <c r="M237" i="2"/>
  <c r="F92" i="2"/>
  <c r="M143" i="2"/>
  <c r="F238" i="2"/>
  <c r="H235" i="2"/>
  <c r="J26" i="2"/>
  <c r="G38" i="2"/>
  <c r="G48" i="2" s="1"/>
  <c r="E47" i="2"/>
  <c r="M47" i="2"/>
  <c r="M48" i="2" s="1"/>
  <c r="O61" i="2"/>
  <c r="O71" i="2" s="1"/>
  <c r="J61" i="2"/>
  <c r="J71" i="2" s="1"/>
  <c r="N70" i="2"/>
  <c r="K91" i="2"/>
  <c r="J104" i="2"/>
  <c r="J115" i="2" s="1"/>
  <c r="N104" i="2"/>
  <c r="N115" i="2" s="1"/>
  <c r="E114" i="2"/>
  <c r="E115" i="2" s="1"/>
  <c r="I114" i="2"/>
  <c r="I115" i="2" s="1"/>
  <c r="F114" i="2"/>
  <c r="K114" i="2"/>
  <c r="K115" i="2" s="1"/>
  <c r="G135" i="2"/>
  <c r="J238" i="2"/>
  <c r="J241" i="2" s="1"/>
  <c r="K156" i="2"/>
  <c r="K166" i="2" s="1"/>
  <c r="E165" i="2"/>
  <c r="E166" i="2" s="1"/>
  <c r="G180" i="2"/>
  <c r="G189" i="2" s="1"/>
  <c r="J189" i="2"/>
  <c r="E203" i="2"/>
  <c r="E213" i="2" s="1"/>
  <c r="K212" i="2"/>
  <c r="O212" i="2"/>
  <c r="M212" i="2"/>
  <c r="M213" i="2" s="1"/>
  <c r="N226" i="2"/>
  <c r="G235" i="2"/>
  <c r="D234" i="2"/>
  <c r="N234" i="2"/>
  <c r="N238" i="2" s="1"/>
  <c r="D235" i="2"/>
  <c r="F61" i="2"/>
  <c r="F71" i="2" s="1"/>
  <c r="L61" i="2"/>
  <c r="L71" i="2" s="1"/>
  <c r="G70" i="2"/>
  <c r="G118" i="2" s="1"/>
  <c r="E91" i="2"/>
  <c r="E92" i="2" s="1"/>
  <c r="O104" i="2"/>
  <c r="O115" i="2" s="1"/>
  <c r="F144" i="2"/>
  <c r="G143" i="2"/>
  <c r="K143" i="2"/>
  <c r="O143" i="2"/>
  <c r="M144" i="2"/>
  <c r="O166" i="2"/>
  <c r="E180" i="2"/>
  <c r="E189" i="2" s="1"/>
  <c r="K180" i="2"/>
  <c r="K189" i="2" s="1"/>
  <c r="O188" i="2"/>
  <c r="O189" i="2" s="1"/>
  <c r="F213" i="2"/>
  <c r="D91" i="2"/>
  <c r="D118" i="2" s="1"/>
  <c r="M91" i="2"/>
  <c r="M92" i="2" s="1"/>
  <c r="E135" i="2"/>
  <c r="N135" i="2"/>
  <c r="H156" i="2"/>
  <c r="L156" i="2"/>
  <c r="L166" i="2" s="1"/>
  <c r="K203" i="2"/>
  <c r="G212" i="2"/>
  <c r="G213" i="2" s="1"/>
  <c r="L226" i="2"/>
  <c r="L235" i="2" s="1"/>
  <c r="I91" i="2"/>
  <c r="D188" i="2"/>
  <c r="D238" i="2" s="1"/>
  <c r="H188" i="2"/>
  <c r="H189" i="2" s="1"/>
  <c r="L188" i="2"/>
  <c r="L238" i="2" s="1"/>
  <c r="E50" i="1"/>
  <c r="E42" i="1"/>
  <c r="D15" i="1"/>
  <c r="I22" i="1"/>
  <c r="D102" i="1"/>
  <c r="E102" i="1"/>
  <c r="F102" i="1"/>
  <c r="K102" i="1"/>
  <c r="D121" i="1"/>
  <c r="H129" i="1"/>
  <c r="E163" i="1"/>
  <c r="H190" i="1"/>
  <c r="G263" i="1"/>
  <c r="L270" i="1"/>
  <c r="L121" i="1"/>
  <c r="L163" i="1"/>
  <c r="J210" i="1"/>
  <c r="J224" i="1" s="1"/>
  <c r="G245" i="1"/>
  <c r="G251" i="1" s="1"/>
  <c r="L155" i="1"/>
  <c r="D270" i="1"/>
  <c r="H270" i="1"/>
  <c r="K270" i="1"/>
  <c r="J102" i="1"/>
  <c r="J108" i="1" s="1"/>
  <c r="F190" i="1"/>
  <c r="K245" i="1"/>
  <c r="E263" i="1"/>
  <c r="I263" i="1"/>
  <c r="I276" i="1" s="1"/>
  <c r="G276" i="1" l="1"/>
  <c r="H278" i="1"/>
  <c r="H280" i="1" s="1"/>
  <c r="H276" i="1"/>
  <c r="E276" i="1"/>
  <c r="L224" i="1"/>
  <c r="K197" i="1"/>
  <c r="L276" i="1"/>
  <c r="D276" i="1"/>
  <c r="F276" i="1"/>
  <c r="H197" i="1"/>
  <c r="I197" i="1"/>
  <c r="F197" i="1"/>
  <c r="D197" i="1"/>
  <c r="E197" i="1"/>
  <c r="L197" i="1"/>
  <c r="I169" i="1"/>
  <c r="L29" i="1"/>
  <c r="D169" i="1"/>
  <c r="L169" i="1"/>
  <c r="G169" i="1"/>
  <c r="F169" i="1"/>
  <c r="E169" i="1"/>
  <c r="K169" i="1"/>
  <c r="L136" i="1"/>
  <c r="G136" i="1"/>
  <c r="E136" i="1"/>
  <c r="K136" i="1"/>
  <c r="H136" i="1"/>
  <c r="I136" i="1"/>
  <c r="D136" i="1"/>
  <c r="F136" i="1"/>
  <c r="I108" i="1"/>
  <c r="E108" i="1"/>
  <c r="D108" i="1"/>
  <c r="G108" i="1"/>
  <c r="K108" i="1"/>
  <c r="F108" i="1"/>
  <c r="L56" i="1"/>
  <c r="I84" i="1"/>
  <c r="E84" i="1"/>
  <c r="E278" i="1" s="1"/>
  <c r="E280" i="1" s="1"/>
  <c r="I56" i="1"/>
  <c r="E56" i="1"/>
  <c r="G84" i="1"/>
  <c r="G278" i="1" s="1"/>
  <c r="J84" i="1"/>
  <c r="J278" i="1" s="1"/>
  <c r="J280" i="1" s="1"/>
  <c r="F56" i="1"/>
  <c r="G56" i="1"/>
  <c r="H56" i="1"/>
  <c r="G29" i="1"/>
  <c r="I29" i="1"/>
  <c r="K118" i="2"/>
  <c r="J117" i="2"/>
  <c r="G71" i="2"/>
  <c r="D237" i="2"/>
  <c r="H48" i="2"/>
  <c r="I213" i="2"/>
  <c r="N118" i="2"/>
  <c r="E118" i="2"/>
  <c r="M117" i="2"/>
  <c r="H117" i="2"/>
  <c r="H240" i="2" s="1"/>
  <c r="L48" i="2"/>
  <c r="J237" i="2"/>
  <c r="N166" i="2"/>
  <c r="L118" i="2"/>
  <c r="L241" i="2" s="1"/>
  <c r="I118" i="2"/>
  <c r="I241" i="2" s="1"/>
  <c r="D189" i="2"/>
  <c r="N235" i="2"/>
  <c r="F115" i="2"/>
  <c r="O26" i="2"/>
  <c r="K117" i="2"/>
  <c r="I117" i="2"/>
  <c r="N117" i="2"/>
  <c r="O235" i="2"/>
  <c r="N241" i="2"/>
  <c r="E144" i="2"/>
  <c r="E237" i="2"/>
  <c r="E240" i="2" s="1"/>
  <c r="N71" i="2"/>
  <c r="E48" i="2"/>
  <c r="O238" i="2"/>
  <c r="O241" i="2" s="1"/>
  <c r="K92" i="2"/>
  <c r="H238" i="2"/>
  <c r="H241" i="2" s="1"/>
  <c r="O117" i="2"/>
  <c r="O240" i="2" s="1"/>
  <c r="E238" i="2"/>
  <c r="E241" i="2" s="1"/>
  <c r="F241" i="2"/>
  <c r="H237" i="2"/>
  <c r="H166" i="2"/>
  <c r="D241" i="2"/>
  <c r="K238" i="2"/>
  <c r="L237" i="2"/>
  <c r="I92" i="2"/>
  <c r="M238" i="2"/>
  <c r="M118" i="2"/>
  <c r="M241" i="2" s="1"/>
  <c r="K237" i="2"/>
  <c r="K240" i="2" s="1"/>
  <c r="L189" i="2"/>
  <c r="K213" i="2"/>
  <c r="N237" i="2"/>
  <c r="N240" i="2" s="1"/>
  <c r="N144" i="2"/>
  <c r="G238" i="2"/>
  <c r="G241" i="2" s="1"/>
  <c r="D92" i="2"/>
  <c r="F117" i="2"/>
  <c r="F240" i="2" s="1"/>
  <c r="M240" i="2"/>
  <c r="O144" i="2"/>
  <c r="D240" i="2"/>
  <c r="G117" i="2"/>
  <c r="G240" i="2" s="1"/>
  <c r="I240" i="2"/>
  <c r="G237" i="2"/>
  <c r="G144" i="2"/>
  <c r="L240" i="2"/>
  <c r="G279" i="1" l="1"/>
  <c r="G280" i="1" s="1"/>
  <c r="I278" i="1"/>
  <c r="I280" i="1" s="1"/>
  <c r="J240" i="2"/>
  <c r="K241" i="2"/>
</calcChain>
</file>

<file path=xl/sharedStrings.xml><?xml version="1.0" encoding="utf-8"?>
<sst xmlns="http://schemas.openxmlformats.org/spreadsheetml/2006/main" count="940" uniqueCount="314">
  <si>
    <t>Неделя: первая</t>
  </si>
  <si>
    <t>Сезон: осенне-зимний</t>
  </si>
  <si>
    <t>1ДЕНЬ - ПОНЕДЕЛЬНИК</t>
  </si>
  <si>
    <t>№ рец-ры</t>
  </si>
  <si>
    <t>Прием пищи, наименование блюда</t>
  </si>
  <si>
    <t>Масса порции</t>
  </si>
  <si>
    <t>Пищевые вещества (г)</t>
  </si>
  <si>
    <t>Энергет ценность (ккал)</t>
  </si>
  <si>
    <t>Витамины (мп)</t>
  </si>
  <si>
    <t>Микроэлементы (мп)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</si>
  <si>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</si>
  <si>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</si>
  <si>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</si>
  <si>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</si>
  <si>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</si>
  <si>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</si>
  <si>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</si>
  <si>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</si>
  <si>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</si>
  <si>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</si>
  <si>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</si>
  <si>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</si>
  <si>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№ 107</t>
  </si>
  <si>
    <t>Каша манная молочная</t>
  </si>
  <si>
    <t>№ 286</t>
  </si>
  <si>
    <t>Кофейный напиток с молоком</t>
  </si>
  <si>
    <t>№ 365</t>
  </si>
  <si>
    <t>Масло сливочное</t>
  </si>
  <si>
    <t>№ 366</t>
  </si>
  <si>
    <t>Сыр</t>
  </si>
  <si>
    <t>Хлеб пшеничный</t>
  </si>
  <si>
    <t>№ 293</t>
  </si>
  <si>
    <t xml:space="preserve">Сок фруктовый </t>
  </si>
  <si>
    <t>Банан</t>
  </si>
  <si>
    <t>итого за завтрак</t>
  </si>
  <si>
    <t>ОБЕД</t>
  </si>
  <si>
    <t>№ 42</t>
  </si>
  <si>
    <t>Рассольник  "Ленинградский"</t>
  </si>
  <si>
    <t>№ 227</t>
  </si>
  <si>
    <t xml:space="preserve">Макароны отварные </t>
  </si>
  <si>
    <t>№ 191</t>
  </si>
  <si>
    <r>
      <t xml:space="preserve">Мясо тушеное из </t>
    </r>
    <r>
      <rPr>
        <b/>
        <i/>
        <sz val="12"/>
        <rFont val="Times New Roman"/>
        <family val="1"/>
        <charset val="204"/>
      </rPr>
      <t>оленины</t>
    </r>
  </si>
  <si>
    <t>№ 26</t>
  </si>
  <si>
    <t>Салат из свеклы с сол.огурцами</t>
  </si>
  <si>
    <t>№ 284</t>
  </si>
  <si>
    <t>Компот из яблок с лимоном</t>
  </si>
  <si>
    <t>Хлеб ржаной</t>
  </si>
  <si>
    <t>итого за обед</t>
  </si>
  <si>
    <t>Всего при 2-х разовом питании</t>
  </si>
  <si>
    <t>2 ДЕНЬ - ВТОРНИК</t>
  </si>
  <si>
    <t>№115</t>
  </si>
  <si>
    <t>Каша ячневая молочная</t>
  </si>
  <si>
    <t>№ 294</t>
  </si>
  <si>
    <t xml:space="preserve">Чай с лимоном </t>
  </si>
  <si>
    <t>масло сливочное</t>
  </si>
  <si>
    <t>хлеб пшеничный</t>
  </si>
  <si>
    <t>Ряженка</t>
  </si>
  <si>
    <t>Яблоко</t>
  </si>
  <si>
    <t>№ 45</t>
  </si>
  <si>
    <t xml:space="preserve">Суп картофельный с бобовыми </t>
  </si>
  <si>
    <t>№ 241</t>
  </si>
  <si>
    <t>Пюре картофельное</t>
  </si>
  <si>
    <t>№171</t>
  </si>
  <si>
    <t>Рыба тушеная в сметанном соусе</t>
  </si>
  <si>
    <t>№ 4</t>
  </si>
  <si>
    <t>Салат из капусты с морковью</t>
  </si>
  <si>
    <t>№ 280</t>
  </si>
  <si>
    <t>компот из кураги</t>
  </si>
  <si>
    <t>хлеб пшеничн.</t>
  </si>
  <si>
    <t>хлеб ржаной</t>
  </si>
  <si>
    <t>3 ДЕНЬ - СРЕДА</t>
  </si>
  <si>
    <t>№ 112</t>
  </si>
  <si>
    <t>Каша пшенная молочная</t>
  </si>
  <si>
    <t>№ 270</t>
  </si>
  <si>
    <t xml:space="preserve">Какао с молоком </t>
  </si>
  <si>
    <t>сыр</t>
  </si>
  <si>
    <t xml:space="preserve">сок фруктовый </t>
  </si>
  <si>
    <t>банан</t>
  </si>
  <si>
    <t>№ 47</t>
  </si>
  <si>
    <t>Суп картоф. с макар. изделиями</t>
  </si>
  <si>
    <t>№ 92</t>
  </si>
  <si>
    <t>Рагу из овощей</t>
  </si>
  <si>
    <t>№ 213</t>
  </si>
  <si>
    <t>Птица тушеная</t>
  </si>
  <si>
    <t>№ 16</t>
  </si>
  <si>
    <t>Салат из свежих огурцов</t>
  </si>
  <si>
    <t>№ 282</t>
  </si>
  <si>
    <t>компот из св.плод.или ягод (брусника)</t>
  </si>
  <si>
    <t>всего при 2х разовом питании</t>
  </si>
  <si>
    <t>4 ДЕНЬ - ЧЕТВЕРГ</t>
  </si>
  <si>
    <t>№ 141</t>
  </si>
  <si>
    <t>Запеканка из творога со сгущ.мол.</t>
  </si>
  <si>
    <t>№ 298</t>
  </si>
  <si>
    <t>чай с молоком</t>
  </si>
  <si>
    <t>груша</t>
  </si>
  <si>
    <t>№ 43</t>
  </si>
  <si>
    <t xml:space="preserve">Свекольник </t>
  </si>
  <si>
    <t>№ 189</t>
  </si>
  <si>
    <r>
      <t xml:space="preserve">Котлета мясная из </t>
    </r>
    <r>
      <rPr>
        <b/>
        <i/>
        <sz val="10"/>
        <rFont val="Times New Roman"/>
        <family val="1"/>
        <charset val="204"/>
      </rPr>
      <t>оленины</t>
    </r>
    <r>
      <rPr>
        <sz val="10"/>
        <rFont val="Times New Roman"/>
        <family val="1"/>
        <charset val="204"/>
      </rPr>
      <t xml:space="preserve"> с соусом </t>
    </r>
  </si>
  <si>
    <t>№ 18</t>
  </si>
  <si>
    <t>салат из св. помидоров и огурцов</t>
  </si>
  <si>
    <t>№290</t>
  </si>
  <si>
    <t>Напиток клюквенный (брусника)</t>
  </si>
  <si>
    <t>всего при 2-х разовом питании</t>
  </si>
  <si>
    <t>5 ДЕНЬ - ПЯТНИЦА</t>
  </si>
  <si>
    <t>№ 138</t>
  </si>
  <si>
    <t>Омлет с сыром</t>
  </si>
  <si>
    <t>кофейный напиток с молоком</t>
  </si>
  <si>
    <t>№ 63</t>
  </si>
  <si>
    <t>Щи из св. капусты с картофелем</t>
  </si>
  <si>
    <t>№ 219</t>
  </si>
  <si>
    <t>Каша гречневая рассыпчатая</t>
  </si>
  <si>
    <t>Биточек мясной с соусом</t>
  </si>
  <si>
    <t>№ 30</t>
  </si>
  <si>
    <t>Салат из сол.огурцов с луком</t>
  </si>
  <si>
    <t>№232</t>
  </si>
  <si>
    <t>Икра кабачковая</t>
  </si>
  <si>
    <t>в среднем за неделю завтрак</t>
  </si>
  <si>
    <t>обед</t>
  </si>
  <si>
    <t>Неделя: вторая</t>
  </si>
  <si>
    <t>6 ДЕНЬ - ПОНЕДЕЛЬНИК</t>
  </si>
  <si>
    <t>№ 102</t>
  </si>
  <si>
    <t xml:space="preserve">Каша "Дружба" молочная </t>
  </si>
  <si>
    <t>яблоко</t>
  </si>
  <si>
    <t>№ 44</t>
  </si>
  <si>
    <t>Суп из овощей</t>
  </si>
  <si>
    <t>№ 181</t>
  </si>
  <si>
    <t>№ 24</t>
  </si>
  <si>
    <t>Салат из свеклы и моркови</t>
  </si>
  <si>
    <t>7 ДЕНЬ - ВТОРНИК</t>
  </si>
  <si>
    <t>№ 154</t>
  </si>
  <si>
    <t>Сырники из творога с вареньем</t>
  </si>
  <si>
    <t xml:space="preserve">чай с лимоном </t>
  </si>
  <si>
    <t>№42</t>
  </si>
  <si>
    <t>№241</t>
  </si>
  <si>
    <t>Картофельное пюре</t>
  </si>
  <si>
    <t>№164</t>
  </si>
  <si>
    <t>Рыба жаренная</t>
  </si>
  <si>
    <t>8 ДЕНЬ - СРЕДА</t>
  </si>
  <si>
    <t>№ 109</t>
  </si>
  <si>
    <t>Каша овсянная из "Геркулеса"</t>
  </si>
  <si>
    <t>№ 139</t>
  </si>
  <si>
    <t>йогурт</t>
  </si>
  <si>
    <t>№37</t>
  </si>
  <si>
    <t>Борщ с капустой и картофелем</t>
  </si>
  <si>
    <t>№211</t>
  </si>
  <si>
    <t>Плов из отварной птицы</t>
  </si>
  <si>
    <t>Салат из св. помидоров и огурцов</t>
  </si>
  <si>
    <t>9 ДЕНЬ - ЧЕТВЕРГ</t>
  </si>
  <si>
    <t>№132</t>
  </si>
  <si>
    <t>Омлет натуральный</t>
  </si>
  <si>
    <t xml:space="preserve">какао с молоком </t>
  </si>
  <si>
    <t>мандарин</t>
  </si>
  <si>
    <t>№47</t>
  </si>
  <si>
    <t xml:space="preserve">Суп картофельный с макарон изделиями </t>
  </si>
  <si>
    <t>№ 176</t>
  </si>
  <si>
    <t>№22</t>
  </si>
  <si>
    <t>Салат из свежих помидоров</t>
  </si>
  <si>
    <t>№ 278</t>
  </si>
  <si>
    <t>Компот из апельсинов и яблок</t>
  </si>
  <si>
    <t>10 ДЕНЬ - ПЯТНИЦА</t>
  </si>
  <si>
    <t>№ 104</t>
  </si>
  <si>
    <t>Каша гречневая молочная</t>
  </si>
  <si>
    <t>Голубцы ленивые</t>
  </si>
  <si>
    <t>№28</t>
  </si>
  <si>
    <t>Салат из свеклы с чесноком</t>
  </si>
  <si>
    <t>в среднем за 10 дней завтрак</t>
  </si>
  <si>
    <t>в среднем за 10 дней обед</t>
  </si>
  <si>
    <t>в среднем за цикл   за день</t>
  </si>
  <si>
    <t>% от нормы</t>
  </si>
  <si>
    <t>норма  100%</t>
  </si>
  <si>
    <t>в день</t>
  </si>
  <si>
    <t>Возрастная категория: 12 лет и старше</t>
  </si>
  <si>
    <r>
      <t xml:space="preserve">Жаркое по - домашнему из </t>
    </r>
    <r>
      <rPr>
        <b/>
        <i/>
        <sz val="11"/>
        <rFont val="Times New Roman"/>
        <family val="1"/>
        <charset val="204"/>
      </rPr>
      <t>оленины</t>
    </r>
  </si>
  <si>
    <t xml:space="preserve">Яйцо отварное </t>
  </si>
  <si>
    <t>Бефстроганов из отв.оленины</t>
  </si>
  <si>
    <t>№ 178</t>
  </si>
  <si>
    <t>№45</t>
  </si>
  <si>
    <t>ПОЛДНИК</t>
  </si>
  <si>
    <t>Свежие фрукты</t>
  </si>
  <si>
    <t>Щи из св.капусты с картофелем</t>
  </si>
  <si>
    <t>№ 185</t>
  </si>
  <si>
    <t>№ 395</t>
  </si>
  <si>
    <t>№ 19</t>
  </si>
  <si>
    <t>Плов из отварной говядины</t>
  </si>
  <si>
    <t>№ 163</t>
  </si>
  <si>
    <t>№ 56</t>
  </si>
  <si>
    <t>Компот из свежих фруктов</t>
  </si>
  <si>
    <t>№ 376</t>
  </si>
  <si>
    <t>Салат из зел.горошка и лука</t>
  </si>
  <si>
    <t>№ 3</t>
  </si>
  <si>
    <t>B2</t>
  </si>
  <si>
    <t>Микроэлементы</t>
  </si>
  <si>
    <t xml:space="preserve">Витамины </t>
  </si>
  <si>
    <t>Отвар из шиповника</t>
  </si>
  <si>
    <t>Йогурт фрукт.</t>
  </si>
  <si>
    <t>Всего при 3-х разовом питании</t>
  </si>
  <si>
    <t>Витамины</t>
  </si>
  <si>
    <t>Каша пшённая</t>
  </si>
  <si>
    <t>Чай с молоком</t>
  </si>
  <si>
    <t>Печенье</t>
  </si>
  <si>
    <t>Св.фрукты</t>
  </si>
  <si>
    <t>№ 394</t>
  </si>
  <si>
    <t>Борщ со св.капустой и картофелем</t>
  </si>
  <si>
    <t>Шницель рыбный натур.</t>
  </si>
  <si>
    <t>Огурец св.</t>
  </si>
  <si>
    <t>№ 57</t>
  </si>
  <si>
    <t>№ 258</t>
  </si>
  <si>
    <t>№ 321</t>
  </si>
  <si>
    <t>№ 372</t>
  </si>
  <si>
    <t>Зразы творож.с изюмом и мол.сг</t>
  </si>
  <si>
    <t>№ 383</t>
  </si>
  <si>
    <t>Кисель из варенья</t>
  </si>
  <si>
    <t>Каша рисовая</t>
  </si>
  <si>
    <t>Св. фрукты</t>
  </si>
  <si>
    <t>№ 397</t>
  </si>
  <si>
    <t>Салат из свеклы с яблоком</t>
  </si>
  <si>
    <t>№ 29</t>
  </si>
  <si>
    <t>№ 454</t>
  </si>
  <si>
    <t>Пирожок печёный с морк.и яйцом</t>
  </si>
  <si>
    <t>№ 399</t>
  </si>
  <si>
    <t>Сок фр.</t>
  </si>
  <si>
    <t xml:space="preserve">Микроэлементы </t>
  </si>
  <si>
    <t>всего при 3-х разовом питании</t>
  </si>
  <si>
    <t>Салат из картофеля с сол.огурц.</t>
  </si>
  <si>
    <t>№ 22</t>
  </si>
  <si>
    <t>№2</t>
  </si>
  <si>
    <t>Ca</t>
  </si>
  <si>
    <t>Возрастная категория:  3- 7 лет</t>
  </si>
  <si>
    <t>Тефтели куриные</t>
  </si>
  <si>
    <t>№ 310</t>
  </si>
  <si>
    <t>№ 82</t>
  </si>
  <si>
    <t>Капуста тушёная</t>
  </si>
  <si>
    <t>№ 338</t>
  </si>
  <si>
    <t>Салат из свежих огурцов и помид.</t>
  </si>
  <si>
    <t>Компот из сухофр.</t>
  </si>
  <si>
    <t>Каша "Дружба"</t>
  </si>
  <si>
    <t>№ 84</t>
  </si>
  <si>
    <t>Рассольник ленинградский</t>
  </si>
  <si>
    <t>№ 76</t>
  </si>
  <si>
    <t>Жаркое по-домашнему</t>
  </si>
  <si>
    <t>№ 153</t>
  </si>
  <si>
    <t>Салат из белокоч капусты с морков.</t>
  </si>
  <si>
    <t>Каша ячневая молоч.</t>
  </si>
  <si>
    <t>Чай с сахром</t>
  </si>
  <si>
    <t>№ 115</t>
  </si>
  <si>
    <t>№392</t>
  </si>
  <si>
    <t>Суп картофельный</t>
  </si>
  <si>
    <t>№ 36</t>
  </si>
  <si>
    <t>Соус сметанный</t>
  </si>
  <si>
    <t>67.5</t>
  </si>
  <si>
    <t>№ 357</t>
  </si>
  <si>
    <t>Св. помидор</t>
  </si>
  <si>
    <t>Компот из кураги</t>
  </si>
  <si>
    <t>Булочка "Веснушка"</t>
  </si>
  <si>
    <t>№ 307</t>
  </si>
  <si>
    <t>Салат из морк.и чернослива</t>
  </si>
  <si>
    <t>№ 10</t>
  </si>
  <si>
    <t>№ 401</t>
  </si>
  <si>
    <t>Возрастная категория: 3 - 7 лет</t>
  </si>
  <si>
    <t>Каша овсяная молочная</t>
  </si>
  <si>
    <t>№185</t>
  </si>
  <si>
    <t>№397</t>
  </si>
  <si>
    <t>Суп свекольник</t>
  </si>
  <si>
    <t>№34</t>
  </si>
  <si>
    <t>Фрикадельки в смет. Соусе</t>
  </si>
  <si>
    <t>Отварные макароны</t>
  </si>
  <si>
    <t>Салат из овощей</t>
  </si>
  <si>
    <t>Компот из чернослива</t>
  </si>
  <si>
    <t>Итого за завтрак</t>
  </si>
  <si>
    <t>Итого за полдник</t>
  </si>
  <si>
    <t>Итого за обед</t>
  </si>
  <si>
    <t>№205</t>
  </si>
  <si>
    <t>№376</t>
  </si>
  <si>
    <t>№383</t>
  </si>
  <si>
    <t>Каша "Ассорти" молочная</t>
  </si>
  <si>
    <t>№71</t>
  </si>
  <si>
    <t>Картофельное пюре с морковью</t>
  </si>
  <si>
    <t>№322</t>
  </si>
  <si>
    <t>Котлета рыбная</t>
  </si>
  <si>
    <t>Компот из св.фруктов</t>
  </si>
  <si>
    <t>№372</t>
  </si>
  <si>
    <t>№9</t>
  </si>
  <si>
    <t>Сосиска отвар.порционная</t>
  </si>
  <si>
    <t>№108</t>
  </si>
  <si>
    <t>Суп гороховый</t>
  </si>
  <si>
    <t>№135</t>
  </si>
  <si>
    <t>Рагу овощное</t>
  </si>
  <si>
    <t>№137</t>
  </si>
  <si>
    <t>Тефтели из птицы с рисом</t>
  </si>
  <si>
    <t>Кисель из сока</t>
  </si>
  <si>
    <t>№382</t>
  </si>
  <si>
    <t>№8</t>
  </si>
  <si>
    <t>№4</t>
  </si>
  <si>
    <t>№35</t>
  </si>
  <si>
    <t>Запеканка картофельная с говяд.</t>
  </si>
  <si>
    <t>№291</t>
  </si>
  <si>
    <t>Салат из свежих пом.огурц.с перцем</t>
  </si>
  <si>
    <t>№36</t>
  </si>
  <si>
    <t>Винегрет овощной</t>
  </si>
  <si>
    <t>Вермишель молочная</t>
  </si>
  <si>
    <t>№93</t>
  </si>
  <si>
    <t>Суп картофельный с рыбой</t>
  </si>
  <si>
    <t>№41</t>
  </si>
  <si>
    <t>Котлета из говядины</t>
  </si>
  <si>
    <t>№282</t>
  </si>
  <si>
    <t>Хлеб пшеничн.</t>
  </si>
  <si>
    <t>Всего при 3х разовом питании</t>
  </si>
  <si>
    <t>Оладьи с яблоками</t>
  </si>
  <si>
    <t>Каша пшеничная молочная</t>
  </si>
  <si>
    <t>В2</t>
  </si>
  <si>
    <t xml:space="preserve">Всего за 1 неделю </t>
  </si>
  <si>
    <t>Всего за 2 неделю</t>
  </si>
  <si>
    <t>Всего за 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</si>
</sst>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D0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35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7" xfId="0" applyFont="1" applyBorder="1"/>
    <xf numFmtId="0" fontId="2" fillId="3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6" fillId="3" borderId="4" xfId="0" applyFont="1" applyFill="1" applyBorder="1"/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/>
    <xf numFmtId="0" fontId="6" fillId="0" borderId="7" xfId="0" applyFont="1" applyBorder="1"/>
    <xf numFmtId="0" fontId="6" fillId="0" borderId="4" xfId="0" applyFont="1" applyBorder="1"/>
    <xf numFmtId="2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/>
    </xf>
    <xf numFmtId="0" fontId="8" fillId="0" borderId="4" xfId="0" applyFont="1" applyBorder="1"/>
    <xf numFmtId="0" fontId="2" fillId="0" borderId="7" xfId="0" applyFont="1" applyBorder="1"/>
    <xf numFmtId="2" fontId="8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9" fillId="0" borderId="7" xfId="0" applyFont="1" applyBorder="1"/>
    <xf numFmtId="2" fontId="9" fillId="0" borderId="7" xfId="0" applyNumberFormat="1" applyFont="1" applyBorder="1"/>
    <xf numFmtId="0" fontId="5" fillId="0" borderId="7" xfId="0" applyFont="1" applyBorder="1"/>
    <xf numFmtId="0" fontId="7" fillId="0" borderId="3" xfId="0" applyFont="1" applyBorder="1" applyAlignment="1">
      <alignment horizontal="left"/>
    </xf>
    <xf numFmtId="0" fontId="2" fillId="4" borderId="7" xfId="0" applyFont="1" applyFill="1" applyBorder="1"/>
    <xf numFmtId="2" fontId="8" fillId="4" borderId="7" xfId="0" applyNumberFormat="1" applyFont="1" applyFill="1" applyBorder="1"/>
    <xf numFmtId="0" fontId="10" fillId="0" borderId="4" xfId="0" applyFont="1" applyBorder="1"/>
    <xf numFmtId="2" fontId="2" fillId="0" borderId="7" xfId="0" applyNumberFormat="1" applyFont="1" applyBorder="1"/>
    <xf numFmtId="0" fontId="6" fillId="0" borderId="7" xfId="0" applyFont="1" applyBorder="1" applyAlignment="1">
      <alignment horizontal="right" vertical="top" wrapText="1"/>
    </xf>
    <xf numFmtId="2" fontId="6" fillId="0" borderId="7" xfId="0" applyNumberFormat="1" applyFont="1" applyBorder="1" applyAlignment="1">
      <alignment horizontal="right" vertical="top" wrapText="1"/>
    </xf>
    <xf numFmtId="2" fontId="11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5" fillId="0" borderId="1" xfId="0" applyFont="1" applyBorder="1"/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2" fillId="3" borderId="7" xfId="0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6" fillId="0" borderId="4" xfId="1" applyFont="1" applyBorder="1"/>
    <xf numFmtId="0" fontId="6" fillId="0" borderId="7" xfId="1" applyFont="1" applyBorder="1" applyAlignment="1">
      <alignment horizontal="right" vertical="top" wrapText="1"/>
    </xf>
    <xf numFmtId="2" fontId="6" fillId="0" borderId="7" xfId="1" applyNumberFormat="1" applyFont="1" applyBorder="1" applyAlignment="1">
      <alignment horizontal="right" vertical="top" wrapText="1"/>
    </xf>
    <xf numFmtId="0" fontId="13" fillId="0" borderId="4" xfId="0" applyFont="1" applyBorder="1"/>
    <xf numFmtId="2" fontId="6" fillId="0" borderId="7" xfId="0" applyNumberFormat="1" applyFont="1" applyBorder="1" applyAlignment="1">
      <alignment vertical="top" wrapText="1"/>
    </xf>
    <xf numFmtId="2" fontId="6" fillId="0" borderId="7" xfId="0" applyNumberFormat="1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6" fillId="0" borderId="7" xfId="1" applyFont="1" applyBorder="1"/>
    <xf numFmtId="2" fontId="6" fillId="0" borderId="7" xfId="1" applyNumberFormat="1" applyFont="1" applyBorder="1"/>
    <xf numFmtId="2" fontId="11" fillId="0" borderId="7" xfId="0" applyNumberFormat="1" applyFont="1" applyBorder="1"/>
    <xf numFmtId="0" fontId="9" fillId="0" borderId="4" xfId="0" applyFont="1" applyBorder="1"/>
    <xf numFmtId="0" fontId="8" fillId="4" borderId="4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5" fillId="0" borderId="4" xfId="0" applyFont="1" applyBorder="1"/>
    <xf numFmtId="0" fontId="16" fillId="0" borderId="4" xfId="0" applyFont="1" applyBorder="1"/>
    <xf numFmtId="1" fontId="6" fillId="0" borderId="7" xfId="1" applyNumberFormat="1" applyFont="1" applyBorder="1"/>
    <xf numFmtId="2" fontId="2" fillId="0" borderId="7" xfId="1" applyNumberFormat="1" applyFont="1" applyBorder="1"/>
    <xf numFmtId="0" fontId="2" fillId="5" borderId="4" xfId="0" applyFont="1" applyFill="1" applyBorder="1"/>
    <xf numFmtId="0" fontId="6" fillId="5" borderId="7" xfId="1" applyFont="1" applyFill="1" applyBorder="1"/>
    <xf numFmtId="2" fontId="2" fillId="5" borderId="7" xfId="1" applyNumberFormat="1" applyFont="1" applyFill="1" applyBorder="1"/>
    <xf numFmtId="0" fontId="1" fillId="0" borderId="1" xfId="0" applyFont="1" applyBorder="1"/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2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8" fillId="3" borderId="4" xfId="0" applyFont="1" applyFill="1" applyBorder="1"/>
    <xf numFmtId="0" fontId="8" fillId="3" borderId="7" xfId="0" applyFont="1" applyFill="1" applyBorder="1"/>
    <xf numFmtId="2" fontId="8" fillId="3" borderId="7" xfId="0" applyNumberFormat="1" applyFont="1" applyFill="1" applyBorder="1"/>
    <xf numFmtId="0" fontId="8" fillId="6" borderId="4" xfId="0" applyFont="1" applyFill="1" applyBorder="1"/>
    <xf numFmtId="0" fontId="8" fillId="6" borderId="7" xfId="0" applyFont="1" applyFill="1" applyBorder="1"/>
    <xf numFmtId="2" fontId="8" fillId="6" borderId="7" xfId="0" applyNumberFormat="1" applyFont="1" applyFill="1" applyBorder="1"/>
    <xf numFmtId="0" fontId="8" fillId="0" borderId="7" xfId="0" applyFont="1" applyBorder="1"/>
    <xf numFmtId="2" fontId="17" fillId="3" borderId="7" xfId="0" applyNumberFormat="1" applyFont="1" applyFill="1" applyBorder="1"/>
    <xf numFmtId="0" fontId="6" fillId="3" borderId="7" xfId="0" applyFont="1" applyFill="1" applyBorder="1"/>
    <xf numFmtId="0" fontId="7" fillId="3" borderId="7" xfId="0" applyFont="1" applyFill="1" applyBorder="1" applyAlignment="1">
      <alignment horizontal="center"/>
    </xf>
    <xf numFmtId="2" fontId="6" fillId="0" borderId="4" xfId="0" applyNumberFormat="1" applyFont="1" applyBorder="1"/>
    <xf numFmtId="0" fontId="5" fillId="3" borderId="7" xfId="0" applyFont="1" applyFill="1" applyBorder="1"/>
    <xf numFmtId="0" fontId="13" fillId="3" borderId="4" xfId="0" applyFont="1" applyFill="1" applyBorder="1"/>
    <xf numFmtId="2" fontId="2" fillId="6" borderId="7" xfId="0" applyNumberFormat="1" applyFont="1" applyFill="1" applyBorder="1"/>
    <xf numFmtId="0" fontId="5" fillId="3" borderId="7" xfId="0" applyFont="1" applyFill="1" applyBorder="1" applyAlignment="1">
      <alignment horizontal="left"/>
    </xf>
    <xf numFmtId="0" fontId="0" fillId="0" borderId="7" xfId="0" applyBorder="1"/>
    <xf numFmtId="0" fontId="2" fillId="3" borderId="7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5" borderId="7" xfId="0" applyFill="1" applyBorder="1"/>
    <xf numFmtId="2" fontId="2" fillId="5" borderId="7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0" fillId="6" borderId="7" xfId="0" applyFill="1" applyBorder="1"/>
    <xf numFmtId="2" fontId="2" fillId="6" borderId="7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2" fontId="10" fillId="0" borderId="7" xfId="0" applyNumberFormat="1" applyFont="1" applyBorder="1" applyAlignment="1">
      <alignment horizontal="center"/>
    </xf>
    <xf numFmtId="0" fontId="4" fillId="7" borderId="7" xfId="0" applyFont="1" applyFill="1" applyBorder="1" applyAlignment="1">
      <alignment horizontal="right"/>
    </xf>
    <xf numFmtId="0" fontId="0" fillId="7" borderId="7" xfId="0" applyFill="1" applyBorder="1"/>
    <xf numFmtId="2" fontId="0" fillId="7" borderId="7" xfId="0" applyNumberFormat="1" applyFill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2" fontId="4" fillId="0" borderId="7" xfId="0" applyNumberFormat="1" applyFont="1" applyBorder="1"/>
    <xf numFmtId="0" fontId="10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0" fillId="5" borderId="7" xfId="0" applyNumberFormat="1" applyFill="1" applyBorder="1"/>
    <xf numFmtId="0" fontId="8" fillId="8" borderId="2" xfId="0" applyFont="1" applyFill="1" applyBorder="1"/>
    <xf numFmtId="0" fontId="2" fillId="8" borderId="7" xfId="0" applyFont="1" applyFill="1" applyBorder="1"/>
    <xf numFmtId="2" fontId="8" fillId="8" borderId="7" xfId="0" applyNumberFormat="1" applyFont="1" applyFill="1" applyBorder="1"/>
    <xf numFmtId="0" fontId="2" fillId="8" borderId="4" xfId="0" applyFont="1" applyFill="1" applyBorder="1"/>
    <xf numFmtId="2" fontId="2" fillId="8" borderId="7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8" fillId="8" borderId="4" xfId="0" applyFont="1" applyFill="1" applyBorder="1"/>
    <xf numFmtId="1" fontId="6" fillId="3" borderId="7" xfId="1" applyNumberFormat="1" applyFont="1" applyFill="1" applyBorder="1"/>
    <xf numFmtId="2" fontId="2" fillId="3" borderId="7" xfId="1" applyNumberFormat="1" applyFont="1" applyFill="1" applyBorder="1"/>
    <xf numFmtId="0" fontId="2" fillId="9" borderId="4" xfId="0" applyFont="1" applyFill="1" applyBorder="1" applyAlignment="1">
      <alignment horizontal="right"/>
    </xf>
    <xf numFmtId="0" fontId="6" fillId="9" borderId="7" xfId="1" applyFont="1" applyFill="1" applyBorder="1"/>
    <xf numFmtId="2" fontId="2" fillId="9" borderId="7" xfId="1" applyNumberFormat="1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2" fontId="8" fillId="2" borderId="7" xfId="0" applyNumberFormat="1" applyFont="1" applyFill="1" applyBorder="1"/>
    <xf numFmtId="2" fontId="2" fillId="2" borderId="7" xfId="0" applyNumberFormat="1" applyFont="1" applyFill="1" applyBorder="1"/>
    <xf numFmtId="0" fontId="0" fillId="9" borderId="7" xfId="0" applyFill="1" applyBorder="1"/>
    <xf numFmtId="2" fontId="2" fillId="9" borderId="7" xfId="0" applyNumberFormat="1" applyFont="1" applyFill="1" applyBorder="1" applyAlignment="1">
      <alignment horizontal="center"/>
    </xf>
    <xf numFmtId="2" fontId="10" fillId="7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0" fontId="1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5" borderId="0" xfId="0" applyFill="1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/>
    <xf numFmtId="0" fontId="8" fillId="3" borderId="3" xfId="0" applyFont="1" applyFill="1" applyBorder="1"/>
    <xf numFmtId="0" fontId="2" fillId="3" borderId="7" xfId="0" applyFont="1" applyFill="1" applyBorder="1"/>
    <xf numFmtId="0" fontId="2" fillId="3" borderId="3" xfId="0" applyFont="1" applyFill="1" applyBorder="1"/>
    <xf numFmtId="0" fontId="8" fillId="3" borderId="2" xfId="0" applyFont="1" applyFill="1" applyBorder="1"/>
    <xf numFmtId="0" fontId="7" fillId="0" borderId="4" xfId="0" applyFont="1" applyBorder="1" applyAlignment="1">
      <alignment horizontal="left"/>
    </xf>
    <xf numFmtId="0" fontId="6" fillId="3" borderId="3" xfId="0" applyFont="1" applyFill="1" applyBorder="1"/>
    <xf numFmtId="0" fontId="19" fillId="0" borderId="4" xfId="0" applyFont="1" applyBorder="1" applyAlignment="1">
      <alignment horizontal="left"/>
    </xf>
    <xf numFmtId="2" fontId="6" fillId="3" borderId="7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/>
    <xf numFmtId="0" fontId="2" fillId="5" borderId="4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3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vertical="center"/>
    </xf>
    <xf numFmtId="2" fontId="6" fillId="3" borderId="7" xfId="0" applyNumberFormat="1" applyFont="1" applyFill="1" applyBorder="1" applyAlignment="1">
      <alignment horizontal="right"/>
    </xf>
    <xf numFmtId="2" fontId="6" fillId="3" borderId="7" xfId="0" applyNumberFormat="1" applyFont="1" applyFill="1" applyBorder="1" applyAlignment="1">
      <alignment horizontal="right" vertical="center" wrapText="1"/>
    </xf>
    <xf numFmtId="2" fontId="6" fillId="3" borderId="7" xfId="0" applyNumberFormat="1" applyFont="1" applyFill="1" applyBorder="1" applyAlignment="1">
      <alignment horizontal="right" vertical="center"/>
    </xf>
    <xf numFmtId="2" fontId="8" fillId="3" borderId="7" xfId="0" applyNumberFormat="1" applyFont="1" applyFill="1" applyBorder="1" applyAlignment="1">
      <alignment horizontal="right"/>
    </xf>
    <xf numFmtId="2" fontId="8" fillId="3" borderId="7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1" fillId="0" borderId="7" xfId="0" applyFont="1" applyBorder="1"/>
    <xf numFmtId="0" fontId="6" fillId="3" borderId="7" xfId="0" applyFont="1" applyFill="1" applyBorder="1" applyAlignment="1">
      <alignment horizontal="right" vertical="top" wrapText="1"/>
    </xf>
    <xf numFmtId="2" fontId="6" fillId="3" borderId="7" xfId="0" applyNumberFormat="1" applyFont="1" applyFill="1" applyBorder="1" applyAlignment="1">
      <alignment horizontal="right" vertical="top" wrapText="1"/>
    </xf>
    <xf numFmtId="2" fontId="11" fillId="3" borderId="7" xfId="0" applyNumberFormat="1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6" fillId="3" borderId="4" xfId="1" applyFont="1" applyFill="1" applyBorder="1"/>
    <xf numFmtId="0" fontId="6" fillId="3" borderId="7" xfId="1" applyFont="1" applyFill="1" applyBorder="1" applyAlignment="1">
      <alignment horizontal="right" vertical="top" wrapText="1"/>
    </xf>
    <xf numFmtId="2" fontId="6" fillId="3" borderId="7" xfId="1" applyNumberFormat="1" applyFont="1" applyFill="1" applyBorder="1" applyAlignment="1">
      <alignment horizontal="right" vertical="top" wrapText="1"/>
    </xf>
    <xf numFmtId="2" fontId="6" fillId="3" borderId="7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center" wrapText="1"/>
    </xf>
    <xf numFmtId="0" fontId="16" fillId="3" borderId="4" xfId="0" applyFont="1" applyFill="1" applyBorder="1"/>
    <xf numFmtId="2" fontId="0" fillId="3" borderId="0" xfId="0" applyNumberFormat="1" applyFill="1"/>
    <xf numFmtId="0" fontId="0" fillId="3" borderId="0" xfId="0" applyFill="1"/>
    <xf numFmtId="2" fontId="18" fillId="3" borderId="0" xfId="0" applyNumberFormat="1" applyFont="1" applyFill="1"/>
    <xf numFmtId="0" fontId="18" fillId="3" borderId="7" xfId="0" applyFont="1" applyFill="1" applyBorder="1"/>
    <xf numFmtId="2" fontId="0" fillId="0" borderId="7" xfId="0" applyNumberFormat="1" applyBorder="1"/>
    <xf numFmtId="2" fontId="8" fillId="0" borderId="7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 vertical="center"/>
    </xf>
    <xf numFmtId="1" fontId="20" fillId="0" borderId="7" xfId="1" applyNumberFormat="1" applyFont="1" applyBorder="1"/>
    <xf numFmtId="2" fontId="8" fillId="0" borderId="7" xfId="1" applyNumberFormat="1" applyFont="1" applyBorder="1"/>
    <xf numFmtId="0" fontId="2" fillId="0" borderId="7" xfId="0" applyFont="1" applyBorder="1"/>
    <xf numFmtId="0" fontId="1" fillId="0" borderId="1" xfId="0" applyFont="1" applyBorder="1"/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6" fillId="3" borderId="4" xfId="0" applyFont="1" applyFill="1" applyBorder="1"/>
    <xf numFmtId="0" fontId="16" fillId="3" borderId="7" xfId="0" applyFont="1" applyFill="1" applyBorder="1"/>
    <xf numFmtId="0" fontId="10" fillId="3" borderId="4" xfId="0" applyFont="1" applyFill="1" applyBorder="1"/>
    <xf numFmtId="0" fontId="10" fillId="3" borderId="7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2" borderId="7" xfId="0" applyFill="1" applyBorder="1"/>
    <xf numFmtId="2" fontId="10" fillId="2" borderId="7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1" applyFont="1" applyFill="1" applyBorder="1"/>
    <xf numFmtId="2" fontId="2" fillId="3" borderId="0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2" fillId="3" borderId="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topLeftCell="A263" workbookViewId="0">
      <selection activeCell="G273" sqref="G273"/>
    </sheetView>
  </sheetViews>
  <sheetFormatPr defaultRowHeight="15" x14ac:dyDescent="0.25"/>
  <cols>
    <col min="1" max="1" width="5.85546875" customWidth="1"/>
    <col min="2" max="2" width="35" customWidth="1"/>
    <col min="7" max="7" width="9.5703125" bestFit="1" customWidth="1"/>
    <col min="10" max="10" width="9.140625" customWidth="1"/>
    <col min="12" max="12" width="9.140625" customWidth="1"/>
    <col min="14" max="14" width="17.85546875" customWidth="1"/>
    <col min="15" max="15" width="9.5703125" customWidth="1"/>
  </cols>
  <sheetData>
    <row r="1" spans="1:12" ht="15.75" x14ac:dyDescent="0.25">
      <c r="A1" s="194"/>
      <c r="B1" s="197"/>
      <c r="C1" s="198"/>
      <c r="D1" s="198"/>
      <c r="E1" s="1"/>
      <c r="F1" s="1"/>
      <c r="G1" s="1"/>
      <c r="H1" s="1"/>
      <c r="I1" s="1"/>
      <c r="J1" s="1"/>
      <c r="K1" s="139"/>
      <c r="L1" s="148"/>
    </row>
    <row r="2" spans="1:12" ht="15.75" x14ac:dyDescent="0.25">
      <c r="A2" s="195"/>
      <c r="B2" s="197" t="s">
        <v>0</v>
      </c>
      <c r="C2" s="198"/>
      <c r="D2" s="198"/>
      <c r="E2" s="3"/>
      <c r="F2" s="3"/>
      <c r="G2" s="3"/>
      <c r="H2" s="3"/>
      <c r="I2" s="3"/>
      <c r="J2" s="3"/>
      <c r="K2" s="4"/>
      <c r="L2" s="149"/>
    </row>
    <row r="3" spans="1:12" ht="15.75" x14ac:dyDescent="0.25">
      <c r="A3" s="195"/>
      <c r="B3" s="199" t="s">
        <v>228</v>
      </c>
      <c r="C3" s="200"/>
      <c r="D3" s="200"/>
      <c r="E3" s="3"/>
      <c r="F3" s="3"/>
      <c r="G3" s="3"/>
      <c r="H3" s="3"/>
      <c r="I3" s="3"/>
      <c r="J3" s="3"/>
      <c r="K3" s="4"/>
      <c r="L3" s="149"/>
    </row>
    <row r="4" spans="1:12" ht="15.75" x14ac:dyDescent="0.25">
      <c r="A4" s="196"/>
      <c r="B4" s="201" t="s">
        <v>2</v>
      </c>
      <c r="C4" s="201"/>
      <c r="D4" s="201"/>
      <c r="E4" s="201"/>
      <c r="F4" s="201"/>
      <c r="G4" s="201"/>
      <c r="H4" s="201"/>
      <c r="I4" s="201"/>
      <c r="J4" s="201"/>
      <c r="K4" s="201"/>
      <c r="L4" s="202"/>
    </row>
    <row r="5" spans="1:12" ht="15.75" x14ac:dyDescent="0.25">
      <c r="A5" s="203" t="s">
        <v>3</v>
      </c>
      <c r="B5" s="205" t="s">
        <v>4</v>
      </c>
      <c r="C5" s="206" t="s">
        <v>5</v>
      </c>
      <c r="D5" s="208" t="s">
        <v>6</v>
      </c>
      <c r="E5" s="208"/>
      <c r="F5" s="208"/>
      <c r="G5" s="209" t="s">
        <v>7</v>
      </c>
      <c r="H5" s="189" t="s">
        <v>193</v>
      </c>
      <c r="I5" s="191"/>
      <c r="J5" s="190"/>
      <c r="K5" s="189" t="s">
        <v>192</v>
      </c>
      <c r="L5" s="190"/>
    </row>
    <row r="6" spans="1:12" ht="15.75" x14ac:dyDescent="0.25">
      <c r="A6" s="204"/>
      <c r="B6" s="205"/>
      <c r="C6" s="207"/>
      <c r="D6" s="5" t="s">
        <v>10</v>
      </c>
      <c r="E6" s="5" t="s">
        <v>11</v>
      </c>
      <c r="F6" s="5" t="s">
        <v>12</v>
      </c>
      <c r="G6" s="210"/>
      <c r="H6" s="5" t="s">
        <v>13</v>
      </c>
      <c r="I6" s="5" t="s">
        <v>14</v>
      </c>
      <c r="J6" s="5" t="s">
        <v>191</v>
      </c>
      <c r="K6" s="5" t="s">
        <v>227</v>
      </c>
      <c r="L6" s="5" t="s">
        <v>20</v>
      </c>
    </row>
    <row r="7" spans="1:12" ht="15.75" x14ac:dyDescent="0.25">
      <c r="A7" s="6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  <c r="H7" s="8">
        <v>8</v>
      </c>
      <c r="I7" s="8">
        <v>9</v>
      </c>
      <c r="J7" s="8">
        <v>10</v>
      </c>
      <c r="K7" s="8"/>
      <c r="L7" s="8">
        <v>16</v>
      </c>
    </row>
    <row r="8" spans="1:12" ht="15.75" x14ac:dyDescent="0.25">
      <c r="A8" s="10"/>
      <c r="B8" s="11" t="s">
        <v>21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5">
      <c r="A9" s="12" t="s">
        <v>181</v>
      </c>
      <c r="B9" s="13" t="s">
        <v>23</v>
      </c>
      <c r="C9" s="14">
        <v>200</v>
      </c>
      <c r="D9" s="15">
        <v>6.58</v>
      </c>
      <c r="E9" s="15">
        <v>9.1300000000000008</v>
      </c>
      <c r="F9" s="15">
        <v>27.65</v>
      </c>
      <c r="G9" s="15">
        <v>218.75</v>
      </c>
      <c r="H9" s="15">
        <v>9.1999999999999998E-2</v>
      </c>
      <c r="I9" s="15">
        <v>1.95</v>
      </c>
      <c r="J9" s="15">
        <v>0.23</v>
      </c>
      <c r="K9" s="15">
        <v>185.35</v>
      </c>
      <c r="L9" s="15">
        <v>0.34</v>
      </c>
    </row>
    <row r="10" spans="1:12" ht="15.75" x14ac:dyDescent="0.25">
      <c r="A10" s="12" t="s">
        <v>182</v>
      </c>
      <c r="B10" s="13" t="s">
        <v>25</v>
      </c>
      <c r="C10" s="16">
        <v>180</v>
      </c>
      <c r="D10" s="15">
        <v>2.85</v>
      </c>
      <c r="E10" s="15">
        <v>2.41</v>
      </c>
      <c r="F10" s="15">
        <v>14.36</v>
      </c>
      <c r="G10" s="15">
        <v>91</v>
      </c>
      <c r="H10" s="15">
        <v>0.04</v>
      </c>
      <c r="I10" s="15">
        <v>1.17</v>
      </c>
      <c r="J10" s="15">
        <v>0.14000000000000001</v>
      </c>
      <c r="K10" s="15">
        <v>113.2</v>
      </c>
      <c r="L10" s="15">
        <v>0.12</v>
      </c>
    </row>
    <row r="11" spans="1:12" ht="15.75" x14ac:dyDescent="0.25">
      <c r="A11" s="12"/>
      <c r="B11" s="17" t="s">
        <v>27</v>
      </c>
      <c r="C11" s="16">
        <v>5.6</v>
      </c>
      <c r="D11" s="15">
        <f>C11*0.04/4.8</f>
        <v>4.6666666666666662E-2</v>
      </c>
      <c r="E11" s="15">
        <f>C11*0.06/4.8</f>
        <v>6.9999999999999993E-2</v>
      </c>
      <c r="F11" s="15">
        <f>C11*41.28/4.8</f>
        <v>48.16</v>
      </c>
      <c r="G11" s="15">
        <f>C11*41.28/4.8</f>
        <v>48.16</v>
      </c>
      <c r="H11" s="18">
        <f>C11*0/4.8</f>
        <v>0</v>
      </c>
      <c r="I11" s="18">
        <f>C1*0/4.8</f>
        <v>0</v>
      </c>
      <c r="J11" s="18">
        <f>C11*0/4.8</f>
        <v>0</v>
      </c>
      <c r="K11" s="18">
        <f>C11*1.15/4.8</f>
        <v>1.3416666666666666</v>
      </c>
      <c r="L11" s="18">
        <f>C11*0/4.8</f>
        <v>0</v>
      </c>
    </row>
    <row r="12" spans="1:12" ht="15.75" x14ac:dyDescent="0.25">
      <c r="A12" s="12"/>
      <c r="B12" s="17" t="s">
        <v>29</v>
      </c>
      <c r="C12" s="14">
        <v>10</v>
      </c>
      <c r="D12" s="15">
        <v>2.6</v>
      </c>
      <c r="E12" s="19">
        <v>2.65</v>
      </c>
      <c r="F12" s="19">
        <v>0.35</v>
      </c>
      <c r="G12" s="19">
        <v>3.55</v>
      </c>
      <c r="H12" s="20">
        <v>3.0000000000000001E-3</v>
      </c>
      <c r="I12" s="20">
        <v>0.28000000000000003</v>
      </c>
      <c r="J12" s="20">
        <v>0.03</v>
      </c>
      <c r="K12" s="20">
        <v>0</v>
      </c>
      <c r="L12" s="20">
        <v>0.09</v>
      </c>
    </row>
    <row r="13" spans="1:12" ht="15.75" x14ac:dyDescent="0.25">
      <c r="A13" s="12"/>
      <c r="B13" s="17" t="s">
        <v>30</v>
      </c>
      <c r="C13" s="16">
        <v>32</v>
      </c>
      <c r="D13" s="15">
        <v>2.5299999999999998</v>
      </c>
      <c r="E13" s="19">
        <v>0.32</v>
      </c>
      <c r="F13" s="19">
        <f>C13*48.3/100</f>
        <v>15.456</v>
      </c>
      <c r="G13" s="19">
        <f>C13*235/100</f>
        <v>75.2</v>
      </c>
      <c r="H13" s="21">
        <v>0.05</v>
      </c>
      <c r="I13" s="21">
        <v>0</v>
      </c>
      <c r="J13" s="21">
        <v>0.02</v>
      </c>
      <c r="K13" s="21">
        <v>7.36</v>
      </c>
      <c r="L13" s="21">
        <v>0.64</v>
      </c>
    </row>
    <row r="14" spans="1:12" ht="15.75" x14ac:dyDescent="0.25">
      <c r="A14" s="12"/>
      <c r="B14" s="17" t="s">
        <v>179</v>
      </c>
      <c r="C14" s="16">
        <v>80</v>
      </c>
      <c r="D14" s="19">
        <f>C14*1.5/100</f>
        <v>1.2</v>
      </c>
      <c r="E14" s="19">
        <f>C14*0.5/100</f>
        <v>0.4</v>
      </c>
      <c r="F14" s="19">
        <f>C14*21/100</f>
        <v>16.8</v>
      </c>
      <c r="G14" s="19">
        <f>C14*89.3/100</f>
        <v>71.44</v>
      </c>
      <c r="H14" s="20">
        <v>0.1</v>
      </c>
      <c r="I14" s="20">
        <f>C14*5/100</f>
        <v>4</v>
      </c>
      <c r="J14" s="20">
        <f>C14*0.1/100</f>
        <v>0.08</v>
      </c>
      <c r="K14" s="20">
        <v>17.12</v>
      </c>
      <c r="L14" s="20">
        <f>D14*0.6/100</f>
        <v>7.1999999999999998E-3</v>
      </c>
    </row>
    <row r="15" spans="1:12" ht="15.75" x14ac:dyDescent="0.25">
      <c r="A15" s="22"/>
      <c r="B15" s="23" t="s">
        <v>269</v>
      </c>
      <c r="C15" s="24">
        <f t="shared" ref="C15:L15" si="0">SUM(C9:C14)</f>
        <v>507.6</v>
      </c>
      <c r="D15" s="25">
        <f t="shared" si="0"/>
        <v>15.806666666666665</v>
      </c>
      <c r="E15" s="25">
        <f t="shared" si="0"/>
        <v>14.980000000000002</v>
      </c>
      <c r="F15" s="25">
        <f t="shared" si="0"/>
        <v>122.77599999999998</v>
      </c>
      <c r="G15" s="25">
        <f t="shared" si="0"/>
        <v>508.09999999999997</v>
      </c>
      <c r="H15" s="25">
        <f t="shared" si="0"/>
        <v>0.28500000000000003</v>
      </c>
      <c r="I15" s="25">
        <f t="shared" si="0"/>
        <v>7.4</v>
      </c>
      <c r="J15" s="25">
        <f t="shared" si="0"/>
        <v>0.5</v>
      </c>
      <c r="K15" s="25">
        <f t="shared" si="0"/>
        <v>324.37166666666667</v>
      </c>
      <c r="L15" s="25">
        <f t="shared" si="0"/>
        <v>1.1972</v>
      </c>
    </row>
    <row r="16" spans="1:12" ht="15.75" x14ac:dyDescent="0.25">
      <c r="A16" s="26"/>
      <c r="B16" s="2" t="s">
        <v>35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15.75" x14ac:dyDescent="0.25">
      <c r="A17" s="12" t="s">
        <v>186</v>
      </c>
      <c r="B17" s="17" t="s">
        <v>180</v>
      </c>
      <c r="C17" s="14">
        <v>200</v>
      </c>
      <c r="D17" s="15">
        <v>1.76</v>
      </c>
      <c r="E17" s="15">
        <v>5.73</v>
      </c>
      <c r="F17" s="15">
        <v>7.85</v>
      </c>
      <c r="G17" s="15">
        <v>91.04</v>
      </c>
      <c r="H17" s="15">
        <v>5.2999999999999999E-2</v>
      </c>
      <c r="I17" s="15">
        <v>25.02</v>
      </c>
      <c r="J17" s="15">
        <v>0.48</v>
      </c>
      <c r="K17" s="15">
        <v>37.619999999999997</v>
      </c>
      <c r="L17" s="15">
        <v>0.64</v>
      </c>
    </row>
    <row r="18" spans="1:12" ht="15.75" x14ac:dyDescent="0.25">
      <c r="A18" s="29" t="s">
        <v>185</v>
      </c>
      <c r="B18" s="17" t="s">
        <v>184</v>
      </c>
      <c r="C18" s="16">
        <v>200</v>
      </c>
      <c r="D18" s="15">
        <v>24.3</v>
      </c>
      <c r="E18" s="15">
        <v>22.5</v>
      </c>
      <c r="F18" s="15">
        <v>32.54</v>
      </c>
      <c r="G18" s="15">
        <v>433.6</v>
      </c>
      <c r="H18" s="15">
        <v>0.11</v>
      </c>
      <c r="I18" s="15">
        <v>140.94999999999999</v>
      </c>
      <c r="J18" s="15">
        <v>0.23</v>
      </c>
      <c r="K18" s="15">
        <v>25.62</v>
      </c>
      <c r="L18" s="15">
        <v>3.35</v>
      </c>
    </row>
    <row r="19" spans="1:12" ht="15.75" x14ac:dyDescent="0.25">
      <c r="A19" s="29" t="s">
        <v>183</v>
      </c>
      <c r="B19" s="17" t="s">
        <v>114</v>
      </c>
      <c r="C19" s="16">
        <v>60</v>
      </c>
      <c r="D19" s="19">
        <v>0.51</v>
      </c>
      <c r="E19" s="19">
        <v>3.09</v>
      </c>
      <c r="F19" s="19">
        <v>1.56</v>
      </c>
      <c r="G19" s="19">
        <v>35.880000000000003</v>
      </c>
      <c r="H19" s="19">
        <v>1.4E-2</v>
      </c>
      <c r="I19" s="19">
        <v>3.33</v>
      </c>
      <c r="J19" s="19">
        <v>1.0999999999999999E-2</v>
      </c>
      <c r="K19" s="19">
        <v>13.96</v>
      </c>
      <c r="L19" s="19">
        <v>0.36</v>
      </c>
    </row>
    <row r="20" spans="1:12" ht="15.75" x14ac:dyDescent="0.25">
      <c r="A20" s="29" t="s">
        <v>188</v>
      </c>
      <c r="B20" s="17" t="s">
        <v>187</v>
      </c>
      <c r="C20" s="16">
        <v>180</v>
      </c>
      <c r="D20" s="15">
        <v>0.14000000000000001</v>
      </c>
      <c r="E20" s="15">
        <v>0.14000000000000001</v>
      </c>
      <c r="F20" s="15">
        <v>21.49</v>
      </c>
      <c r="G20" s="15">
        <v>87.4</v>
      </c>
      <c r="H20" s="15">
        <v>8.9999999999999993E-3</v>
      </c>
      <c r="I20" s="15">
        <v>1.54</v>
      </c>
      <c r="J20" s="15">
        <v>7.0000000000000001E-3</v>
      </c>
      <c r="K20" s="15">
        <v>13.03</v>
      </c>
      <c r="L20" s="15">
        <v>0.84</v>
      </c>
    </row>
    <row r="21" spans="1:12" ht="15.75" x14ac:dyDescent="0.25">
      <c r="A21" s="12"/>
      <c r="B21" s="17" t="s">
        <v>46</v>
      </c>
      <c r="C21" s="16">
        <v>40</v>
      </c>
      <c r="D21" s="15">
        <v>3.4</v>
      </c>
      <c r="E21" s="19">
        <v>1.32</v>
      </c>
      <c r="F21" s="19">
        <v>17</v>
      </c>
      <c r="G21" s="19">
        <v>103.6</v>
      </c>
      <c r="H21" s="21">
        <v>0.17</v>
      </c>
      <c r="I21" s="21">
        <v>0.16</v>
      </c>
      <c r="J21" s="21">
        <v>0.13</v>
      </c>
      <c r="K21" s="21">
        <v>13.2</v>
      </c>
      <c r="L21" s="21">
        <v>0.05</v>
      </c>
    </row>
    <row r="22" spans="1:12" ht="15.75" x14ac:dyDescent="0.25">
      <c r="A22" s="12"/>
      <c r="B22" s="143" t="s">
        <v>47</v>
      </c>
      <c r="C22" s="31">
        <f>SUM(C17:C21)</f>
        <v>680</v>
      </c>
      <c r="D22" s="32">
        <v>35.42</v>
      </c>
      <c r="E22" s="32">
        <f>SUM(E17:E21)</f>
        <v>32.78</v>
      </c>
      <c r="F22" s="32">
        <f>SUM(F17:F21)</f>
        <v>80.44</v>
      </c>
      <c r="G22" s="32">
        <f>SUM(G17:G21)</f>
        <v>751.52</v>
      </c>
      <c r="H22" s="32">
        <v>0.42</v>
      </c>
      <c r="I22" s="32">
        <f>SUM(I17:I21)</f>
        <v>171</v>
      </c>
      <c r="J22" s="32">
        <f>SUM(J17:J21)</f>
        <v>0.85799999999999998</v>
      </c>
      <c r="K22" s="32">
        <f>SUM(K17:K21)</f>
        <v>103.42999999999999</v>
      </c>
      <c r="L22" s="32">
        <f>SUM(L17:L21)</f>
        <v>5.24</v>
      </c>
    </row>
    <row r="23" spans="1:12" ht="15.75" x14ac:dyDescent="0.25">
      <c r="A23" s="30"/>
      <c r="B23" s="142" t="s">
        <v>178</v>
      </c>
      <c r="C23" s="141"/>
      <c r="D23" s="80"/>
      <c r="E23" s="80"/>
      <c r="F23" s="80"/>
      <c r="G23" s="80"/>
      <c r="H23" s="80"/>
      <c r="I23" s="80"/>
      <c r="J23" s="80"/>
      <c r="K23" s="80"/>
      <c r="L23" s="80"/>
    </row>
    <row r="24" spans="1:12" ht="15.75" x14ac:dyDescent="0.25">
      <c r="A24" s="146" t="s">
        <v>190</v>
      </c>
      <c r="B24" s="145" t="s">
        <v>189</v>
      </c>
      <c r="C24" s="86">
        <v>60</v>
      </c>
      <c r="D24" s="147">
        <v>1.78</v>
      </c>
      <c r="E24" s="147">
        <v>3.11</v>
      </c>
      <c r="F24" s="147">
        <v>1.91</v>
      </c>
      <c r="G24" s="147">
        <v>50</v>
      </c>
      <c r="H24" s="147">
        <v>0.06</v>
      </c>
      <c r="I24" s="147">
        <v>6.6</v>
      </c>
      <c r="J24" s="147">
        <v>2.8000000000000001E-2</v>
      </c>
      <c r="K24" s="147">
        <v>12.87</v>
      </c>
      <c r="L24" s="147">
        <v>0.41</v>
      </c>
    </row>
    <row r="25" spans="1:12" ht="15.75" x14ac:dyDescent="0.25">
      <c r="A25" s="146" t="s">
        <v>293</v>
      </c>
      <c r="B25" s="145" t="s">
        <v>194</v>
      </c>
      <c r="C25" s="86">
        <v>180</v>
      </c>
      <c r="D25" s="147">
        <v>0.61</v>
      </c>
      <c r="E25" s="147">
        <v>0.25</v>
      </c>
      <c r="F25" s="147">
        <v>18.670000000000002</v>
      </c>
      <c r="G25" s="147">
        <v>19</v>
      </c>
      <c r="H25" s="147">
        <v>0.01</v>
      </c>
      <c r="I25" s="147">
        <v>90</v>
      </c>
      <c r="J25" s="147">
        <v>0.05</v>
      </c>
      <c r="K25" s="147">
        <v>19.2</v>
      </c>
      <c r="L25" s="147">
        <v>0.56999999999999995</v>
      </c>
    </row>
    <row r="26" spans="1:12" ht="15.75" x14ac:dyDescent="0.25">
      <c r="A26" s="146"/>
      <c r="B26" s="17" t="s">
        <v>306</v>
      </c>
      <c r="C26" s="16">
        <v>32</v>
      </c>
      <c r="D26" s="15">
        <v>2.5299999999999998</v>
      </c>
      <c r="E26" s="19">
        <v>0.32</v>
      </c>
      <c r="F26" s="19">
        <f>C26*48.3/100</f>
        <v>15.456</v>
      </c>
      <c r="G26" s="19">
        <f>C26*235/100</f>
        <v>75.2</v>
      </c>
      <c r="H26" s="21">
        <v>0.05</v>
      </c>
      <c r="I26" s="21">
        <v>0</v>
      </c>
      <c r="J26" s="21">
        <v>0.02</v>
      </c>
      <c r="K26" s="21">
        <v>7.36</v>
      </c>
      <c r="L26" s="21">
        <v>0.64</v>
      </c>
    </row>
    <row r="27" spans="1:12" ht="15.75" x14ac:dyDescent="0.25">
      <c r="A27" s="144"/>
      <c r="B27" s="145" t="s">
        <v>195</v>
      </c>
      <c r="C27" s="86">
        <v>100</v>
      </c>
      <c r="D27" s="147">
        <v>2.8</v>
      </c>
      <c r="E27" s="147">
        <v>2.5</v>
      </c>
      <c r="F27" s="147">
        <v>12</v>
      </c>
      <c r="G27" s="147">
        <v>82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</row>
    <row r="28" spans="1:12" ht="15.75" x14ac:dyDescent="0.25">
      <c r="A28" s="144"/>
      <c r="B28" s="140" t="s">
        <v>270</v>
      </c>
      <c r="C28" s="79">
        <f>SUM(C24:C27)</f>
        <v>372</v>
      </c>
      <c r="D28" s="80">
        <f>SUM(D24:D27)</f>
        <v>7.72</v>
      </c>
      <c r="E28" s="80">
        <f>SUM(E24:E27)</f>
        <v>6.18</v>
      </c>
      <c r="F28" s="80">
        <f>SUM(F24:F27)</f>
        <v>48.036000000000001</v>
      </c>
      <c r="G28" s="80">
        <f>SUM(G24:G27)</f>
        <v>226.2</v>
      </c>
      <c r="H28" s="80">
        <v>7.0000000000000007E-2</v>
      </c>
      <c r="I28" s="80">
        <f>SUM(I24:I27)</f>
        <v>96.6</v>
      </c>
      <c r="J28" s="80">
        <f>SUM(J24:J27)</f>
        <v>9.8000000000000004E-2</v>
      </c>
      <c r="K28" s="80">
        <f>SUM(K24:K27)</f>
        <v>39.43</v>
      </c>
      <c r="L28" s="80">
        <f>SUM(L24:L27)</f>
        <v>1.62</v>
      </c>
    </row>
    <row r="29" spans="1:12" ht="15.75" x14ac:dyDescent="0.25">
      <c r="A29" s="144"/>
      <c r="B29" s="63" t="s">
        <v>196</v>
      </c>
      <c r="C29" s="84"/>
      <c r="D29" s="25">
        <f>D15+D22+D28</f>
        <v>58.946666666666665</v>
      </c>
      <c r="E29" s="25">
        <f>E15+E22+E28</f>
        <v>53.940000000000005</v>
      </c>
      <c r="F29" s="25">
        <f>F15+F22+F28</f>
        <v>251.25199999999998</v>
      </c>
      <c r="G29" s="25">
        <f t="shared" ref="G29:L29" si="1">G15+G22+G28</f>
        <v>1485.82</v>
      </c>
      <c r="H29" s="25">
        <f t="shared" si="1"/>
        <v>0.77500000000000013</v>
      </c>
      <c r="I29" s="25">
        <f t="shared" si="1"/>
        <v>275</v>
      </c>
      <c r="J29" s="25">
        <f t="shared" si="1"/>
        <v>1.4560000000000002</v>
      </c>
      <c r="K29" s="25">
        <f t="shared" si="1"/>
        <v>467.23166666666668</v>
      </c>
      <c r="L29" s="25">
        <f t="shared" si="1"/>
        <v>8.0572000000000017</v>
      </c>
    </row>
    <row r="30" spans="1:12" ht="15.75" x14ac:dyDescent="0.25">
      <c r="A30" s="26"/>
      <c r="B30" s="2"/>
      <c r="C30" s="2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5.75" x14ac:dyDescent="0.25">
      <c r="A31" s="192" t="s">
        <v>49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50"/>
    </row>
    <row r="32" spans="1:12" ht="15.75" x14ac:dyDescent="0.25">
      <c r="A32" s="10"/>
      <c r="B32" s="205" t="s">
        <v>4</v>
      </c>
      <c r="C32" s="206" t="s">
        <v>5</v>
      </c>
      <c r="D32" s="208" t="s">
        <v>6</v>
      </c>
      <c r="E32" s="208"/>
      <c r="F32" s="208"/>
      <c r="G32" s="209" t="s">
        <v>7</v>
      </c>
      <c r="H32" s="189" t="s">
        <v>197</v>
      </c>
      <c r="I32" s="191"/>
      <c r="J32" s="190"/>
      <c r="K32" s="189" t="s">
        <v>192</v>
      </c>
      <c r="L32" s="190"/>
    </row>
    <row r="33" spans="1:12" ht="15.75" x14ac:dyDescent="0.25">
      <c r="A33" s="203" t="s">
        <v>3</v>
      </c>
      <c r="B33" s="205"/>
      <c r="C33" s="207"/>
      <c r="D33" s="5" t="s">
        <v>10</v>
      </c>
      <c r="E33" s="5" t="s">
        <v>11</v>
      </c>
      <c r="F33" s="5" t="s">
        <v>12</v>
      </c>
      <c r="G33" s="210"/>
      <c r="H33" s="5" t="s">
        <v>13</v>
      </c>
      <c r="I33" s="5" t="s">
        <v>14</v>
      </c>
      <c r="J33" s="5" t="s">
        <v>191</v>
      </c>
      <c r="K33" s="5" t="s">
        <v>227</v>
      </c>
      <c r="L33" s="5" t="s">
        <v>20</v>
      </c>
    </row>
    <row r="34" spans="1:12" ht="15.75" x14ac:dyDescent="0.25">
      <c r="A34" s="204"/>
      <c r="B34" s="7">
        <v>2</v>
      </c>
      <c r="C34" s="8">
        <v>3</v>
      </c>
      <c r="D34" s="8">
        <v>4</v>
      </c>
      <c r="E34" s="8">
        <v>5</v>
      </c>
      <c r="F34" s="8">
        <v>6</v>
      </c>
      <c r="G34" s="9">
        <v>7</v>
      </c>
      <c r="H34" s="8">
        <v>8</v>
      </c>
      <c r="I34" s="8">
        <v>9</v>
      </c>
      <c r="J34" s="8">
        <v>10</v>
      </c>
      <c r="K34" s="8"/>
      <c r="L34" s="8">
        <v>15</v>
      </c>
    </row>
    <row r="35" spans="1:12" ht="15.75" x14ac:dyDescent="0.25">
      <c r="A35" s="6">
        <v>1</v>
      </c>
      <c r="B35" s="11" t="s">
        <v>21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.75" x14ac:dyDescent="0.25">
      <c r="A36" s="135" t="s">
        <v>181</v>
      </c>
      <c r="B36" s="13" t="s">
        <v>198</v>
      </c>
      <c r="C36" s="86">
        <v>200</v>
      </c>
      <c r="D36" s="147">
        <v>7.09</v>
      </c>
      <c r="E36" s="157">
        <v>9.24</v>
      </c>
      <c r="F36" s="157">
        <v>27.85</v>
      </c>
      <c r="G36" s="157">
        <v>222.3</v>
      </c>
      <c r="H36" s="159">
        <v>0.13</v>
      </c>
      <c r="I36" s="159">
        <v>1.95</v>
      </c>
      <c r="J36" s="159">
        <v>0.25</v>
      </c>
      <c r="K36" s="159">
        <v>180.75</v>
      </c>
      <c r="L36" s="159">
        <v>1.21</v>
      </c>
    </row>
    <row r="37" spans="1:12" ht="15.75" x14ac:dyDescent="0.25">
      <c r="A37" s="12" t="s">
        <v>202</v>
      </c>
      <c r="B37" s="13" t="s">
        <v>199</v>
      </c>
      <c r="C37" s="165">
        <v>180</v>
      </c>
      <c r="D37" s="166">
        <v>2.67</v>
      </c>
      <c r="E37" s="166">
        <v>2.34</v>
      </c>
      <c r="F37" s="166">
        <v>14.31</v>
      </c>
      <c r="G37" s="166">
        <v>89</v>
      </c>
      <c r="H37" s="167">
        <v>0.04</v>
      </c>
      <c r="I37" s="167">
        <v>0.2</v>
      </c>
      <c r="J37" s="167">
        <v>0.14000000000000001</v>
      </c>
      <c r="K37" s="168">
        <v>113.9</v>
      </c>
      <c r="L37" s="168">
        <v>0.37</v>
      </c>
    </row>
    <row r="38" spans="1:12" ht="15.75" x14ac:dyDescent="0.25">
      <c r="A38" s="12"/>
      <c r="B38" s="13" t="s">
        <v>27</v>
      </c>
      <c r="C38" s="16">
        <v>5.6</v>
      </c>
      <c r="D38" s="15">
        <f>C38*0.04/4.8</f>
        <v>4.6666666666666662E-2</v>
      </c>
      <c r="E38" s="15">
        <f>C38*0.06/4.8</f>
        <v>6.9999999999999993E-2</v>
      </c>
      <c r="F38" s="15">
        <f>C38*41.28/4.8</f>
        <v>48.16</v>
      </c>
      <c r="G38" s="15">
        <f>C38*41.28/4.8</f>
        <v>48.16</v>
      </c>
      <c r="H38" s="18">
        <f>C38*0/4.8</f>
        <v>0</v>
      </c>
      <c r="I38" s="18">
        <f>C28*0/4.8</f>
        <v>0</v>
      </c>
      <c r="J38" s="18">
        <f>C38*0/4.8</f>
        <v>0</v>
      </c>
      <c r="K38" s="18">
        <f>C38*1.15/4.8</f>
        <v>1.3416666666666666</v>
      </c>
      <c r="L38" s="18">
        <f>C38*0/4.8</f>
        <v>0</v>
      </c>
    </row>
    <row r="39" spans="1:12" ht="15.75" x14ac:dyDescent="0.25">
      <c r="A39" s="12"/>
      <c r="B39" s="13" t="s">
        <v>30</v>
      </c>
      <c r="C39" s="16">
        <v>32</v>
      </c>
      <c r="D39" s="15">
        <v>2.5299999999999998</v>
      </c>
      <c r="E39" s="19">
        <v>0.32</v>
      </c>
      <c r="F39" s="19">
        <f>C39*48.3/100</f>
        <v>15.456</v>
      </c>
      <c r="G39" s="19">
        <f>C39*235/100</f>
        <v>75.2</v>
      </c>
      <c r="H39" s="21">
        <v>0.05</v>
      </c>
      <c r="I39" s="21">
        <v>0</v>
      </c>
      <c r="J39" s="21">
        <v>0.02</v>
      </c>
      <c r="K39" s="21">
        <v>7.36</v>
      </c>
      <c r="L39" s="21">
        <v>0.64</v>
      </c>
    </row>
    <row r="40" spans="1:12" ht="15.75" x14ac:dyDescent="0.25">
      <c r="A40" s="12"/>
      <c r="B40" s="86" t="s">
        <v>200</v>
      </c>
      <c r="C40" s="86">
        <v>15</v>
      </c>
      <c r="D40" s="147">
        <v>0.75</v>
      </c>
      <c r="E40" s="147">
        <v>0.98</v>
      </c>
      <c r="F40" s="147">
        <v>7.44</v>
      </c>
      <c r="G40" s="147">
        <v>41.7</v>
      </c>
      <c r="H40" s="147">
        <v>0.01</v>
      </c>
      <c r="I40" s="147">
        <v>5.0000000000000001E-3</v>
      </c>
      <c r="J40" s="147">
        <v>5.0000000000000001E-3</v>
      </c>
      <c r="K40" s="147">
        <v>2.9</v>
      </c>
      <c r="L40" s="147">
        <v>1.21</v>
      </c>
    </row>
    <row r="41" spans="1:12" ht="15.75" x14ac:dyDescent="0.25">
      <c r="A41" s="136"/>
      <c r="B41" s="13" t="s">
        <v>201</v>
      </c>
      <c r="C41" s="16">
        <v>80</v>
      </c>
      <c r="D41" s="19">
        <f>C41*1.5/100</f>
        <v>1.2</v>
      </c>
      <c r="E41" s="19">
        <f>C41*0.5/100</f>
        <v>0.4</v>
      </c>
      <c r="F41" s="19">
        <f>C41*21/100</f>
        <v>16.8</v>
      </c>
      <c r="G41" s="19">
        <f>C41*89.3/100</f>
        <v>71.44</v>
      </c>
      <c r="H41" s="20">
        <v>0.1</v>
      </c>
      <c r="I41" s="20">
        <f>C41*5/100</f>
        <v>4</v>
      </c>
      <c r="J41" s="20">
        <f>C41*0.1/100</f>
        <v>0.08</v>
      </c>
      <c r="K41" s="20">
        <v>17.12</v>
      </c>
      <c r="L41" s="20">
        <f>D41*0.6/100</f>
        <v>7.1999999999999998E-3</v>
      </c>
    </row>
    <row r="42" spans="1:12" ht="15.75" x14ac:dyDescent="0.25">
      <c r="A42" s="12"/>
      <c r="B42" s="54" t="s">
        <v>269</v>
      </c>
      <c r="C42" s="141">
        <f>SUM(C36:C41)</f>
        <v>512.6</v>
      </c>
      <c r="D42" s="42">
        <f t="shared" ref="D42:J42" si="2">SUM(D36:D41)</f>
        <v>14.286666666666665</v>
      </c>
      <c r="E42" s="42">
        <f t="shared" si="2"/>
        <v>13.350000000000001</v>
      </c>
      <c r="F42" s="42">
        <f t="shared" si="2"/>
        <v>130.01599999999999</v>
      </c>
      <c r="G42" s="42">
        <f t="shared" si="2"/>
        <v>547.79999999999995</v>
      </c>
      <c r="H42" s="42">
        <f t="shared" si="2"/>
        <v>0.33000000000000007</v>
      </c>
      <c r="I42" s="42">
        <f t="shared" si="2"/>
        <v>6.1549999999999994</v>
      </c>
      <c r="J42" s="42">
        <f t="shared" si="2"/>
        <v>0.49500000000000005</v>
      </c>
      <c r="K42" s="42">
        <f>SUM(K36:K41)</f>
        <v>323.37166666666661</v>
      </c>
      <c r="L42" s="42">
        <f t="shared" ref="L42" si="3">SUM(L36:L41)</f>
        <v>3.4372000000000003</v>
      </c>
    </row>
    <row r="43" spans="1:12" ht="15.75" x14ac:dyDescent="0.25">
      <c r="A43" s="22"/>
      <c r="B43" s="54" t="s">
        <v>35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2" ht="15.75" x14ac:dyDescent="0.25">
      <c r="A44" s="12" t="s">
        <v>206</v>
      </c>
      <c r="B44" s="169" t="s">
        <v>203</v>
      </c>
      <c r="C44" s="170">
        <v>200</v>
      </c>
      <c r="D44" s="171">
        <v>1.67</v>
      </c>
      <c r="E44" s="171">
        <v>5.12</v>
      </c>
      <c r="F44" s="171">
        <v>23</v>
      </c>
      <c r="G44" s="171">
        <v>74.34</v>
      </c>
      <c r="H44" s="147">
        <v>3.7999999999999999E-2</v>
      </c>
      <c r="I44" s="147">
        <v>8.2799999999999994</v>
      </c>
      <c r="J44" s="147">
        <v>4.2999999999999997E-2</v>
      </c>
      <c r="K44" s="147">
        <v>42.54</v>
      </c>
      <c r="L44" s="147">
        <v>0.95</v>
      </c>
    </row>
    <row r="45" spans="1:12" ht="15.75" x14ac:dyDescent="0.25">
      <c r="A45" s="44" t="s">
        <v>208</v>
      </c>
      <c r="B45" s="13" t="s">
        <v>135</v>
      </c>
      <c r="C45" s="86">
        <v>150</v>
      </c>
      <c r="D45" s="157">
        <v>2.04</v>
      </c>
      <c r="E45" s="157">
        <v>3.2</v>
      </c>
      <c r="F45" s="157">
        <v>13.62</v>
      </c>
      <c r="G45" s="157">
        <v>97.5</v>
      </c>
      <c r="H45" s="158">
        <v>0.09</v>
      </c>
      <c r="I45" s="158">
        <v>12.1</v>
      </c>
      <c r="J45" s="158">
        <v>7.0000000000000007E-2</v>
      </c>
      <c r="K45" s="158">
        <v>24.65</v>
      </c>
      <c r="L45" s="158">
        <v>0.67</v>
      </c>
    </row>
    <row r="46" spans="1:12" ht="15.75" x14ac:dyDescent="0.25">
      <c r="A46" s="12" t="s">
        <v>207</v>
      </c>
      <c r="B46" s="90" t="s">
        <v>204</v>
      </c>
      <c r="C46" s="165">
        <v>80</v>
      </c>
      <c r="D46" s="172">
        <v>12.08</v>
      </c>
      <c r="E46" s="172">
        <v>3.92</v>
      </c>
      <c r="F46" s="172">
        <v>8.2100000000000009</v>
      </c>
      <c r="G46" s="172">
        <v>116</v>
      </c>
      <c r="H46" s="173">
        <v>0.08</v>
      </c>
      <c r="I46" s="173">
        <v>2.62</v>
      </c>
      <c r="J46" s="173">
        <v>7.0000000000000007E-2</v>
      </c>
      <c r="K46" s="173">
        <v>38.9</v>
      </c>
      <c r="L46" s="173">
        <v>0.84</v>
      </c>
    </row>
    <row r="47" spans="1:12" ht="15.75" x14ac:dyDescent="0.25">
      <c r="A47" s="12"/>
      <c r="B47" s="13" t="s">
        <v>205</v>
      </c>
      <c r="C47" s="86">
        <v>60</v>
      </c>
      <c r="D47" s="147">
        <v>2.16</v>
      </c>
      <c r="E47" s="157">
        <v>0.06</v>
      </c>
      <c r="F47" s="157">
        <v>0.39</v>
      </c>
      <c r="G47" s="157">
        <v>9</v>
      </c>
      <c r="H47" s="159">
        <v>0</v>
      </c>
      <c r="I47" s="159">
        <v>1.68</v>
      </c>
      <c r="J47" s="159">
        <v>0</v>
      </c>
      <c r="K47" s="159">
        <v>9.6</v>
      </c>
      <c r="L47" s="159">
        <v>0.18</v>
      </c>
    </row>
    <row r="48" spans="1:12" ht="15.75" x14ac:dyDescent="0.25">
      <c r="A48" s="12" t="s">
        <v>209</v>
      </c>
      <c r="B48" s="13" t="s">
        <v>268</v>
      </c>
      <c r="C48" s="86">
        <v>200</v>
      </c>
      <c r="D48" s="147">
        <v>0.39</v>
      </c>
      <c r="E48" s="147">
        <v>1.7999999999999999E-2</v>
      </c>
      <c r="F48" s="147">
        <v>24.9</v>
      </c>
      <c r="G48" s="147">
        <v>101.7</v>
      </c>
      <c r="H48" s="147">
        <v>1E-3</v>
      </c>
      <c r="I48" s="147">
        <v>0.36</v>
      </c>
      <c r="J48" s="147">
        <v>5.0000000000000001E-3</v>
      </c>
      <c r="K48" s="147">
        <v>28.6</v>
      </c>
      <c r="L48" s="147">
        <v>1.1200000000000001</v>
      </c>
    </row>
    <row r="49" spans="1:12" ht="15.75" x14ac:dyDescent="0.25">
      <c r="A49" s="44"/>
      <c r="B49" s="169" t="s">
        <v>46</v>
      </c>
      <c r="C49" s="16">
        <v>40</v>
      </c>
      <c r="D49" s="15">
        <v>3.4</v>
      </c>
      <c r="E49" s="19">
        <v>1.32</v>
      </c>
      <c r="F49" s="19">
        <v>17</v>
      </c>
      <c r="G49" s="19">
        <v>103.6</v>
      </c>
      <c r="H49" s="21">
        <v>0.17</v>
      </c>
      <c r="I49" s="21">
        <v>0.16</v>
      </c>
      <c r="J49" s="21">
        <v>0.13</v>
      </c>
      <c r="K49" s="21">
        <v>13.2</v>
      </c>
      <c r="L49" s="21">
        <v>0.05</v>
      </c>
    </row>
    <row r="50" spans="1:12" ht="15.75" x14ac:dyDescent="0.25">
      <c r="A50" s="51"/>
      <c r="B50" s="54" t="s">
        <v>271</v>
      </c>
      <c r="C50" s="141">
        <f>SUM(C44:C49)</f>
        <v>730</v>
      </c>
      <c r="D50" s="42">
        <f>SUM(D44:D49)</f>
        <v>21.74</v>
      </c>
      <c r="E50" s="42">
        <f t="shared" ref="E50:L50" si="4">SUM(E44:E49)</f>
        <v>13.638000000000002</v>
      </c>
      <c r="F50" s="42">
        <f t="shared" si="4"/>
        <v>87.12</v>
      </c>
      <c r="G50" s="42">
        <f t="shared" si="4"/>
        <v>502.14</v>
      </c>
      <c r="H50" s="42">
        <f t="shared" si="4"/>
        <v>0.379</v>
      </c>
      <c r="I50" s="42">
        <f t="shared" si="4"/>
        <v>25.2</v>
      </c>
      <c r="J50" s="42">
        <f t="shared" si="4"/>
        <v>0.318</v>
      </c>
      <c r="K50" s="42">
        <f t="shared" si="4"/>
        <v>157.48999999999998</v>
      </c>
      <c r="L50" s="42">
        <f t="shared" si="4"/>
        <v>3.81</v>
      </c>
    </row>
    <row r="51" spans="1:12" ht="15.75" x14ac:dyDescent="0.25">
      <c r="A51" s="51"/>
      <c r="B51" s="54" t="s">
        <v>178</v>
      </c>
      <c r="C51" s="141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23.25" customHeight="1" x14ac:dyDescent="0.25">
      <c r="A52" s="51" t="s">
        <v>60</v>
      </c>
      <c r="B52" s="13" t="s">
        <v>210</v>
      </c>
      <c r="C52" s="86">
        <v>150</v>
      </c>
      <c r="D52" s="147">
        <v>26.84</v>
      </c>
      <c r="E52" s="147">
        <v>24.8</v>
      </c>
      <c r="F52" s="147">
        <v>65.73</v>
      </c>
      <c r="G52" s="147">
        <v>351.53</v>
      </c>
      <c r="H52" s="147">
        <v>0.15</v>
      </c>
      <c r="I52" s="147">
        <v>0.25</v>
      </c>
      <c r="J52" s="147">
        <v>0.33</v>
      </c>
      <c r="K52" s="147">
        <v>180.4</v>
      </c>
      <c r="L52" s="147">
        <v>2</v>
      </c>
    </row>
    <row r="53" spans="1:12" ht="15.75" x14ac:dyDescent="0.25">
      <c r="A53" s="51" t="s">
        <v>211</v>
      </c>
      <c r="B53" s="13" t="s">
        <v>212</v>
      </c>
      <c r="C53" s="86">
        <v>180</v>
      </c>
      <c r="D53" s="147">
        <v>9.6000000000000002E-2</v>
      </c>
      <c r="E53" s="147">
        <v>7.1999999999999995E-2</v>
      </c>
      <c r="F53" s="147">
        <v>21</v>
      </c>
      <c r="G53" s="147">
        <v>84.7</v>
      </c>
      <c r="H53" s="147">
        <v>0</v>
      </c>
      <c r="I53" s="147">
        <v>0.84</v>
      </c>
      <c r="J53" s="147">
        <v>0</v>
      </c>
      <c r="K53" s="147">
        <v>9.1</v>
      </c>
      <c r="L53" s="147">
        <v>0.2</v>
      </c>
    </row>
    <row r="54" spans="1:12" ht="15.75" x14ac:dyDescent="0.25">
      <c r="A54" s="12"/>
      <c r="B54" s="17" t="s">
        <v>30</v>
      </c>
      <c r="C54" s="16">
        <v>32</v>
      </c>
      <c r="D54" s="15">
        <f>C54*6.9/100</f>
        <v>2.2080000000000002</v>
      </c>
      <c r="E54" s="19">
        <f>1*C54/100</f>
        <v>0.32</v>
      </c>
      <c r="F54" s="19">
        <f>C54*48.3/100</f>
        <v>15.456</v>
      </c>
      <c r="G54" s="19">
        <f>C54*235/100</f>
        <v>75.2</v>
      </c>
      <c r="H54" s="21">
        <f>C54*0.16/100</f>
        <v>5.1200000000000002E-2</v>
      </c>
      <c r="I54" s="21">
        <v>0</v>
      </c>
      <c r="J54" s="21">
        <v>0</v>
      </c>
      <c r="K54" s="21">
        <f>C54*23/100</f>
        <v>7.36</v>
      </c>
      <c r="L54" s="21">
        <f>D54*2/100</f>
        <v>4.4160000000000005E-2</v>
      </c>
    </row>
    <row r="55" spans="1:12" ht="15.75" x14ac:dyDescent="0.25">
      <c r="A55" s="12"/>
      <c r="B55" s="23" t="s">
        <v>270</v>
      </c>
      <c r="C55" s="84">
        <v>362</v>
      </c>
      <c r="D55" s="25">
        <v>57.15</v>
      </c>
      <c r="E55" s="180">
        <f t="shared" ref="E55:L55" si="5">SUM(E52:E54)</f>
        <v>25.192</v>
      </c>
      <c r="F55" s="180">
        <f t="shared" si="5"/>
        <v>102.18600000000001</v>
      </c>
      <c r="G55" s="180">
        <f t="shared" si="5"/>
        <v>511.42999999999995</v>
      </c>
      <c r="H55" s="181">
        <f t="shared" si="5"/>
        <v>0.20119999999999999</v>
      </c>
      <c r="I55" s="181">
        <f t="shared" si="5"/>
        <v>1.0899999999999999</v>
      </c>
      <c r="J55" s="181">
        <f t="shared" si="5"/>
        <v>0.33</v>
      </c>
      <c r="K55" s="181">
        <f t="shared" si="5"/>
        <v>196.86</v>
      </c>
      <c r="L55" s="181">
        <f t="shared" si="5"/>
        <v>2.2441600000000004</v>
      </c>
    </row>
    <row r="56" spans="1:12" ht="15.75" x14ac:dyDescent="0.25">
      <c r="A56" s="41"/>
      <c r="B56" s="63" t="s">
        <v>196</v>
      </c>
      <c r="C56" s="84"/>
      <c r="D56" s="25">
        <f t="shared" ref="D56:L56" si="6">D42+D50+D55</f>
        <v>93.176666666666662</v>
      </c>
      <c r="E56" s="25">
        <f t="shared" si="6"/>
        <v>52.180000000000007</v>
      </c>
      <c r="F56" s="25">
        <f t="shared" si="6"/>
        <v>319.322</v>
      </c>
      <c r="G56" s="25">
        <f t="shared" si="6"/>
        <v>1561.37</v>
      </c>
      <c r="H56" s="25">
        <f t="shared" si="6"/>
        <v>0.91020000000000012</v>
      </c>
      <c r="I56" s="25">
        <f t="shared" si="6"/>
        <v>32.444999999999993</v>
      </c>
      <c r="J56" s="25">
        <f t="shared" si="6"/>
        <v>1.143</v>
      </c>
      <c r="K56" s="25">
        <f t="shared" si="6"/>
        <v>677.72166666666658</v>
      </c>
      <c r="L56" s="25">
        <f t="shared" si="6"/>
        <v>9.4913600000000002</v>
      </c>
    </row>
    <row r="57" spans="1:12" ht="15.75" x14ac:dyDescent="0.25">
      <c r="A57" s="43"/>
      <c r="B57" s="17"/>
      <c r="C57" s="16"/>
      <c r="D57" s="16"/>
      <c r="E57" s="16"/>
      <c r="F57" s="16"/>
      <c r="G57" s="16"/>
      <c r="H57" s="16"/>
      <c r="I57" s="15"/>
      <c r="J57" s="15"/>
      <c r="K57" s="15"/>
      <c r="L57" s="15"/>
    </row>
    <row r="58" spans="1:12" ht="15.75" x14ac:dyDescent="0.25">
      <c r="A58" s="43"/>
      <c r="B58" s="192" t="s">
        <v>70</v>
      </c>
      <c r="C58" s="193"/>
      <c r="D58" s="193"/>
      <c r="E58" s="193"/>
      <c r="F58" s="193"/>
      <c r="G58" s="193"/>
      <c r="H58" s="193"/>
      <c r="I58" s="193"/>
      <c r="J58" s="193"/>
      <c r="K58" s="211"/>
      <c r="L58" s="150"/>
    </row>
    <row r="59" spans="1:12" ht="15.75" x14ac:dyDescent="0.25">
      <c r="A59" s="10"/>
      <c r="B59" s="205" t="s">
        <v>4</v>
      </c>
      <c r="C59" s="206" t="s">
        <v>5</v>
      </c>
      <c r="D59" s="208" t="s">
        <v>6</v>
      </c>
      <c r="E59" s="208"/>
      <c r="F59" s="208"/>
      <c r="G59" s="209" t="s">
        <v>7</v>
      </c>
      <c r="H59" s="189" t="s">
        <v>197</v>
      </c>
      <c r="I59" s="191"/>
      <c r="J59" s="190"/>
      <c r="K59" s="189" t="s">
        <v>222</v>
      </c>
      <c r="L59" s="190"/>
    </row>
    <row r="60" spans="1:12" ht="15.75" customHeight="1" x14ac:dyDescent="0.25">
      <c r="A60" s="203" t="s">
        <v>3</v>
      </c>
      <c r="B60" s="205"/>
      <c r="C60" s="207"/>
      <c r="D60" s="52" t="s">
        <v>10</v>
      </c>
      <c r="E60" s="52" t="s">
        <v>11</v>
      </c>
      <c r="F60" s="52" t="s">
        <v>12</v>
      </c>
      <c r="G60" s="210"/>
      <c r="H60" s="52" t="s">
        <v>13</v>
      </c>
      <c r="I60" s="52" t="s">
        <v>14</v>
      </c>
      <c r="J60" s="52" t="s">
        <v>191</v>
      </c>
      <c r="K60" s="52" t="s">
        <v>227</v>
      </c>
      <c r="L60" s="138" t="s">
        <v>20</v>
      </c>
    </row>
    <row r="61" spans="1:12" ht="15.75" x14ac:dyDescent="0.25">
      <c r="A61" s="204"/>
      <c r="B61" s="53">
        <v>2</v>
      </c>
      <c r="C61" s="8">
        <v>3</v>
      </c>
      <c r="D61" s="8">
        <v>4</v>
      </c>
      <c r="E61" s="8">
        <v>5</v>
      </c>
      <c r="F61" s="8">
        <v>6</v>
      </c>
      <c r="G61" s="9">
        <v>7</v>
      </c>
      <c r="H61" s="8">
        <v>8</v>
      </c>
      <c r="I61" s="8">
        <v>9</v>
      </c>
      <c r="J61" s="8">
        <v>10</v>
      </c>
      <c r="K61" s="8"/>
      <c r="L61" s="8">
        <v>15</v>
      </c>
    </row>
    <row r="62" spans="1:12" ht="15.75" x14ac:dyDescent="0.25">
      <c r="A62" s="6">
        <v>1</v>
      </c>
      <c r="B62" s="54" t="s">
        <v>21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5.75" x14ac:dyDescent="0.25">
      <c r="A63" s="40" t="s">
        <v>181</v>
      </c>
      <c r="B63" s="13" t="s">
        <v>213</v>
      </c>
      <c r="C63" s="14">
        <v>200</v>
      </c>
      <c r="D63" s="15">
        <v>5.97</v>
      </c>
      <c r="E63" s="19">
        <v>9.07</v>
      </c>
      <c r="F63" s="19">
        <v>29.93</v>
      </c>
      <c r="G63" s="19">
        <v>225.85</v>
      </c>
      <c r="H63" s="20">
        <v>0.08</v>
      </c>
      <c r="I63" s="20">
        <v>1.95</v>
      </c>
      <c r="J63" s="20">
        <v>0.2</v>
      </c>
      <c r="K63" s="20">
        <v>182.75</v>
      </c>
      <c r="L63" s="20">
        <v>0.36</v>
      </c>
    </row>
    <row r="64" spans="1:12" ht="15.75" x14ac:dyDescent="0.25">
      <c r="A64" s="12" t="s">
        <v>215</v>
      </c>
      <c r="B64" s="13" t="s">
        <v>74</v>
      </c>
      <c r="C64" s="55">
        <v>180</v>
      </c>
      <c r="D64" s="56">
        <v>3.67</v>
      </c>
      <c r="E64" s="56">
        <v>3.19</v>
      </c>
      <c r="F64" s="56">
        <v>15.82</v>
      </c>
      <c r="G64" s="56">
        <v>107</v>
      </c>
      <c r="H64" s="15">
        <v>0.05</v>
      </c>
      <c r="I64" s="15">
        <v>1.43</v>
      </c>
      <c r="J64" s="15">
        <v>0.17</v>
      </c>
      <c r="K64" s="15">
        <v>118</v>
      </c>
      <c r="L64" s="15">
        <v>0.43</v>
      </c>
    </row>
    <row r="65" spans="1:12" ht="15.75" x14ac:dyDescent="0.25">
      <c r="A65" s="29"/>
      <c r="B65" s="17" t="s">
        <v>27</v>
      </c>
      <c r="C65" s="16">
        <v>4.2</v>
      </c>
      <c r="D65" s="15">
        <f>C65*0.1/10</f>
        <v>4.2000000000000003E-2</v>
      </c>
      <c r="E65" s="15">
        <f>C65*7.2/10</f>
        <v>3.024</v>
      </c>
      <c r="F65" s="15">
        <f>C65*0.1/10</f>
        <v>4.2000000000000003E-2</v>
      </c>
      <c r="G65" s="15">
        <f>C65*66/10</f>
        <v>27.72</v>
      </c>
      <c r="H65" s="18">
        <v>0</v>
      </c>
      <c r="I65" s="18">
        <f>C65*0.28/10</f>
        <v>0.11760000000000001</v>
      </c>
      <c r="J65" s="18">
        <v>0</v>
      </c>
      <c r="K65" s="18">
        <f>C65*2.2/10</f>
        <v>0.92400000000000015</v>
      </c>
      <c r="L65" s="18">
        <f>D65*0.02/10</f>
        <v>8.4000000000000009E-5</v>
      </c>
    </row>
    <row r="66" spans="1:12" ht="15.75" x14ac:dyDescent="0.25">
      <c r="A66" s="12"/>
      <c r="B66" s="17" t="s">
        <v>306</v>
      </c>
      <c r="C66" s="16">
        <v>32</v>
      </c>
      <c r="D66" s="15">
        <v>2.5299999999999998</v>
      </c>
      <c r="E66" s="19">
        <v>0.32</v>
      </c>
      <c r="F66" s="19">
        <f>C66*48.3/100</f>
        <v>15.456</v>
      </c>
      <c r="G66" s="19">
        <f>C66*235/100</f>
        <v>75.2</v>
      </c>
      <c r="H66" s="21">
        <v>0.05</v>
      </c>
      <c r="I66" s="21">
        <v>0</v>
      </c>
      <c r="J66" s="21">
        <v>0.02</v>
      </c>
      <c r="K66" s="21">
        <v>7.36</v>
      </c>
      <c r="L66" s="21">
        <v>0.64</v>
      </c>
    </row>
    <row r="67" spans="1:12" ht="15.75" x14ac:dyDescent="0.25">
      <c r="A67" s="29"/>
      <c r="B67" s="17" t="s">
        <v>29</v>
      </c>
      <c r="C67" s="16">
        <v>10</v>
      </c>
      <c r="D67" s="15">
        <f>C67*6.96/30</f>
        <v>2.3199999999999998</v>
      </c>
      <c r="E67" s="19">
        <f>C67*8.85/30</f>
        <v>2.95</v>
      </c>
      <c r="F67" s="19">
        <v>0</v>
      </c>
      <c r="G67" s="19">
        <f>C67*109.2/30</f>
        <v>36.4</v>
      </c>
      <c r="H67" s="20">
        <f>C67*0.01/30</f>
        <v>3.3333333333333335E-3</v>
      </c>
      <c r="I67" s="20">
        <f>C67*0.48/30</f>
        <v>0.16</v>
      </c>
      <c r="J67" s="20">
        <f>C67*0.08/30</f>
        <v>2.6666666666666668E-2</v>
      </c>
      <c r="K67" s="20">
        <v>80</v>
      </c>
      <c r="L67" s="20">
        <f>D67*0.33/30</f>
        <v>2.5519999999999998E-2</v>
      </c>
    </row>
    <row r="68" spans="1:12" ht="15.75" x14ac:dyDescent="0.25">
      <c r="A68" s="29"/>
      <c r="B68" s="17" t="s">
        <v>214</v>
      </c>
      <c r="C68" s="16">
        <v>80</v>
      </c>
      <c r="D68" s="19">
        <f>C68*1.5/100</f>
        <v>1.2</v>
      </c>
      <c r="E68" s="19">
        <f>C68*0.5/100</f>
        <v>0.4</v>
      </c>
      <c r="F68" s="19">
        <f>C68*21/100</f>
        <v>16.8</v>
      </c>
      <c r="G68" s="19">
        <f>C68*89.3/100</f>
        <v>71.44</v>
      </c>
      <c r="H68" s="20">
        <v>0.1</v>
      </c>
      <c r="I68" s="20">
        <f>C68*5/100</f>
        <v>4</v>
      </c>
      <c r="J68" s="20">
        <f>C68*0.1/100</f>
        <v>0.08</v>
      </c>
      <c r="K68" s="20">
        <v>17.12</v>
      </c>
      <c r="L68" s="20">
        <f>D68*0.6/100</f>
        <v>7.1999999999999998E-3</v>
      </c>
    </row>
    <row r="69" spans="1:12" ht="15.75" x14ac:dyDescent="0.25">
      <c r="A69" s="29"/>
      <c r="B69" s="23" t="s">
        <v>269</v>
      </c>
      <c r="C69" s="24">
        <f t="shared" ref="C69:L69" si="7">SUM(C63:C68)</f>
        <v>506.2</v>
      </c>
      <c r="D69" s="34">
        <f t="shared" si="7"/>
        <v>15.731999999999999</v>
      </c>
      <c r="E69" s="34">
        <f t="shared" si="7"/>
        <v>18.953999999999997</v>
      </c>
      <c r="F69" s="34">
        <f t="shared" si="7"/>
        <v>78.048000000000002</v>
      </c>
      <c r="G69" s="34">
        <f t="shared" si="7"/>
        <v>543.61</v>
      </c>
      <c r="H69" s="34">
        <f t="shared" si="7"/>
        <v>0.28333333333333333</v>
      </c>
      <c r="I69" s="34">
        <f t="shared" si="7"/>
        <v>7.6576000000000004</v>
      </c>
      <c r="J69" s="34">
        <f t="shared" si="7"/>
        <v>0.4966666666666667</v>
      </c>
      <c r="K69" s="34">
        <f t="shared" si="7"/>
        <v>406.154</v>
      </c>
      <c r="L69" s="34">
        <f t="shared" si="7"/>
        <v>1.462804</v>
      </c>
    </row>
    <row r="70" spans="1:12" ht="15.75" x14ac:dyDescent="0.25">
      <c r="A70" s="41"/>
      <c r="B70" s="2" t="s">
        <v>35</v>
      </c>
      <c r="C70" s="16"/>
      <c r="D70" s="15"/>
      <c r="E70" s="15"/>
      <c r="F70" s="15"/>
      <c r="G70" s="15"/>
      <c r="H70" s="15"/>
      <c r="I70" s="15"/>
      <c r="J70" s="15"/>
      <c r="K70" s="15"/>
      <c r="L70" s="15"/>
    </row>
    <row r="71" spans="1:12" ht="15.75" x14ac:dyDescent="0.25">
      <c r="A71" s="40" t="s">
        <v>231</v>
      </c>
      <c r="B71" s="17" t="s">
        <v>79</v>
      </c>
      <c r="C71" s="14">
        <v>200</v>
      </c>
      <c r="D71" s="15">
        <v>2.15</v>
      </c>
      <c r="E71" s="15">
        <f>2.86*C71/250</f>
        <v>2.2879999999999998</v>
      </c>
      <c r="F71" s="15">
        <v>13.7</v>
      </c>
      <c r="G71" s="15">
        <v>83.2</v>
      </c>
      <c r="H71" s="15">
        <v>0.09</v>
      </c>
      <c r="I71" s="15">
        <v>6.6</v>
      </c>
      <c r="J71" s="15">
        <v>0.05</v>
      </c>
      <c r="K71" s="15">
        <v>19.68</v>
      </c>
      <c r="L71" s="15">
        <v>0.86</v>
      </c>
    </row>
    <row r="72" spans="1:12" ht="15.75" x14ac:dyDescent="0.25">
      <c r="A72" s="12" t="s">
        <v>230</v>
      </c>
      <c r="B72" s="17" t="s">
        <v>229</v>
      </c>
      <c r="C72" s="16">
        <v>80</v>
      </c>
      <c r="D72" s="19">
        <v>13.9</v>
      </c>
      <c r="E72" s="19">
        <v>12.98</v>
      </c>
      <c r="F72" s="19">
        <v>4.8899999999999997</v>
      </c>
      <c r="G72" s="19">
        <v>198.76</v>
      </c>
      <c r="H72" s="20">
        <v>0.18</v>
      </c>
      <c r="I72" s="20">
        <v>0.12</v>
      </c>
      <c r="J72" s="20">
        <v>0.13</v>
      </c>
      <c r="K72" s="20">
        <v>59.1</v>
      </c>
      <c r="L72" s="20">
        <v>1.03</v>
      </c>
    </row>
    <row r="73" spans="1:12" ht="15.75" x14ac:dyDescent="0.25">
      <c r="A73" s="12" t="s">
        <v>233</v>
      </c>
      <c r="B73" s="17" t="s">
        <v>232</v>
      </c>
      <c r="C73" s="55">
        <v>150</v>
      </c>
      <c r="D73" s="56">
        <v>2.77</v>
      </c>
      <c r="E73" s="56">
        <v>4.83</v>
      </c>
      <c r="F73" s="56">
        <v>10.78</v>
      </c>
      <c r="G73" s="56">
        <v>38.799999999999997</v>
      </c>
      <c r="H73" s="57">
        <v>2.7E-2</v>
      </c>
      <c r="I73" s="57">
        <v>15.38</v>
      </c>
      <c r="J73" s="57">
        <v>2.7E-2</v>
      </c>
      <c r="K73" s="57">
        <v>73.180000000000007</v>
      </c>
      <c r="L73" s="57">
        <v>1.0900000000000001</v>
      </c>
    </row>
    <row r="74" spans="1:12" ht="15.75" x14ac:dyDescent="0.25">
      <c r="A74" s="12" t="s">
        <v>99</v>
      </c>
      <c r="B74" s="17" t="s">
        <v>234</v>
      </c>
      <c r="C74" s="16">
        <v>60</v>
      </c>
      <c r="D74" s="15">
        <v>0.56999999999999995</v>
      </c>
      <c r="E74" s="15">
        <v>3.68</v>
      </c>
      <c r="F74" s="15">
        <v>1.84</v>
      </c>
      <c r="G74" s="15">
        <v>42.84</v>
      </c>
      <c r="H74" s="15">
        <v>0.02</v>
      </c>
      <c r="I74" s="18">
        <v>11.4</v>
      </c>
      <c r="J74" s="18">
        <v>0.02</v>
      </c>
      <c r="K74" s="18">
        <v>16.059999999999999</v>
      </c>
      <c r="L74" s="18">
        <v>0.45</v>
      </c>
    </row>
    <row r="75" spans="1:12" ht="15.75" x14ac:dyDescent="0.25">
      <c r="A75" s="12" t="s">
        <v>84</v>
      </c>
      <c r="B75" s="17" t="s">
        <v>235</v>
      </c>
      <c r="C75" s="86">
        <v>200</v>
      </c>
      <c r="D75" s="147">
        <v>0.39</v>
      </c>
      <c r="E75" s="147">
        <v>1.7999999999999999E-2</v>
      </c>
      <c r="F75" s="147">
        <v>24.9</v>
      </c>
      <c r="G75" s="147">
        <v>101.7</v>
      </c>
      <c r="H75" s="147">
        <v>1E-3</v>
      </c>
      <c r="I75" s="147">
        <v>0.36</v>
      </c>
      <c r="J75" s="147">
        <v>5.0000000000000001E-3</v>
      </c>
      <c r="K75" s="147">
        <v>28.6</v>
      </c>
      <c r="L75" s="147">
        <v>1.1200000000000001</v>
      </c>
    </row>
    <row r="76" spans="1:12" ht="15.75" x14ac:dyDescent="0.25">
      <c r="A76" s="40"/>
      <c r="B76" s="17" t="s">
        <v>46</v>
      </c>
      <c r="C76" s="16">
        <v>40</v>
      </c>
      <c r="D76" s="15">
        <v>3.4</v>
      </c>
      <c r="E76" s="19">
        <v>1.32</v>
      </c>
      <c r="F76" s="19">
        <v>17</v>
      </c>
      <c r="G76" s="19">
        <v>103.6</v>
      </c>
      <c r="H76" s="21">
        <v>0.17</v>
      </c>
      <c r="I76" s="21">
        <v>0.16</v>
      </c>
      <c r="J76" s="21">
        <v>0.13</v>
      </c>
      <c r="K76" s="21">
        <v>13.2</v>
      </c>
      <c r="L76" s="21">
        <v>0.05</v>
      </c>
    </row>
    <row r="77" spans="1:12" ht="15.75" x14ac:dyDescent="0.25">
      <c r="A77" s="40"/>
      <c r="B77" s="78" t="s">
        <v>271</v>
      </c>
      <c r="C77" s="141">
        <f>SUM(C71:C76)</f>
        <v>730</v>
      </c>
      <c r="D77" s="42">
        <f>SUM(D71:D76)</f>
        <v>23.18</v>
      </c>
      <c r="E77" s="42">
        <f>SUM(E71:E76)</f>
        <v>25.116</v>
      </c>
      <c r="F77" s="42">
        <f>SUM(F71:F76)</f>
        <v>73.11</v>
      </c>
      <c r="G77" s="42">
        <f>SUM(G71:G76)</f>
        <v>568.9</v>
      </c>
      <c r="H77" s="42">
        <f>SUM(H71:H76)</f>
        <v>0.4880000000000001</v>
      </c>
      <c r="I77" s="42">
        <f>SUM(I71:I76)</f>
        <v>34.019999999999996</v>
      </c>
      <c r="J77" s="42">
        <f>SUM(J71:J76)</f>
        <v>0.36199999999999999</v>
      </c>
      <c r="K77" s="42">
        <f>SUM(K71:K76)</f>
        <v>209.82</v>
      </c>
      <c r="L77" s="42">
        <f>SUM(L71:L76)</f>
        <v>4.6000000000000005</v>
      </c>
    </row>
    <row r="78" spans="1:12" ht="15.75" x14ac:dyDescent="0.25">
      <c r="A78" s="40"/>
      <c r="B78" s="54" t="s">
        <v>178</v>
      </c>
      <c r="C78" s="86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 ht="15.75" x14ac:dyDescent="0.25">
      <c r="A79" s="40" t="s">
        <v>217</v>
      </c>
      <c r="B79" s="13" t="s">
        <v>216</v>
      </c>
      <c r="C79" s="86">
        <v>60</v>
      </c>
      <c r="D79" s="147">
        <v>0.62</v>
      </c>
      <c r="E79" s="147">
        <v>3.07</v>
      </c>
      <c r="F79" s="147">
        <v>4.2300000000000004</v>
      </c>
      <c r="G79" s="147">
        <v>47.28</v>
      </c>
      <c r="H79" s="147">
        <v>1.4E-2</v>
      </c>
      <c r="I79" s="147">
        <v>6.24</v>
      </c>
      <c r="J79" s="147">
        <v>2.1000000000000001E-2</v>
      </c>
      <c r="K79" s="147">
        <v>18.2</v>
      </c>
      <c r="L79" s="147">
        <v>0.79</v>
      </c>
    </row>
    <row r="80" spans="1:12" ht="15.75" x14ac:dyDescent="0.25">
      <c r="A80" s="40" t="s">
        <v>218</v>
      </c>
      <c r="B80" s="13" t="s">
        <v>219</v>
      </c>
      <c r="C80" s="86">
        <v>60</v>
      </c>
      <c r="D80" s="147">
        <v>4.09</v>
      </c>
      <c r="E80" s="147">
        <v>3.7</v>
      </c>
      <c r="F80" s="147">
        <v>21.68</v>
      </c>
      <c r="G80" s="147">
        <v>136</v>
      </c>
      <c r="H80" s="147">
        <v>0.06</v>
      </c>
      <c r="I80" s="147">
        <v>0.12</v>
      </c>
      <c r="J80" s="147">
        <v>0.06</v>
      </c>
      <c r="K80" s="147">
        <v>16.899999999999999</v>
      </c>
      <c r="L80" s="147">
        <v>0.8</v>
      </c>
    </row>
    <row r="81" spans="1:12" ht="15.75" x14ac:dyDescent="0.25">
      <c r="A81" s="40" t="s">
        <v>220</v>
      </c>
      <c r="B81" s="13" t="s">
        <v>221</v>
      </c>
      <c r="C81" s="86">
        <v>180</v>
      </c>
      <c r="D81" s="147">
        <v>0.75</v>
      </c>
      <c r="E81" s="147">
        <v>0</v>
      </c>
      <c r="F81" s="147">
        <v>15.15</v>
      </c>
      <c r="G81" s="147">
        <v>64</v>
      </c>
      <c r="H81" s="147">
        <v>0.02</v>
      </c>
      <c r="I81" s="147">
        <v>3</v>
      </c>
      <c r="J81" s="147">
        <v>0.02</v>
      </c>
      <c r="K81" s="147">
        <v>10.5</v>
      </c>
      <c r="L81" s="147">
        <v>2.1</v>
      </c>
    </row>
    <row r="82" spans="1:12" ht="15.75" x14ac:dyDescent="0.25">
      <c r="A82" s="40"/>
      <c r="B82" s="17" t="s">
        <v>306</v>
      </c>
      <c r="C82" s="16">
        <v>32</v>
      </c>
      <c r="D82" s="15">
        <v>2.5299999999999998</v>
      </c>
      <c r="E82" s="19">
        <v>0.32</v>
      </c>
      <c r="F82" s="19">
        <f>C82*48.3/100</f>
        <v>15.456</v>
      </c>
      <c r="G82" s="19">
        <f>C82*235/100</f>
        <v>75.2</v>
      </c>
      <c r="H82" s="21">
        <v>0.05</v>
      </c>
      <c r="I82" s="21">
        <v>0</v>
      </c>
      <c r="J82" s="21">
        <v>0.02</v>
      </c>
      <c r="K82" s="21">
        <v>7.36</v>
      </c>
      <c r="L82" s="21">
        <v>0.64</v>
      </c>
    </row>
    <row r="83" spans="1:12" ht="15.75" x14ac:dyDescent="0.25">
      <c r="A83" s="40"/>
      <c r="B83" s="78" t="s">
        <v>270</v>
      </c>
      <c r="C83" s="79">
        <f>SUM(C79:C82)</f>
        <v>332</v>
      </c>
      <c r="D83" s="80">
        <f>SUM(D79:D82)</f>
        <v>7.99</v>
      </c>
      <c r="E83" s="80">
        <f>SUM(E79:E82)</f>
        <v>7.09</v>
      </c>
      <c r="F83" s="80">
        <f>SUM(F79:F82)</f>
        <v>56.516000000000005</v>
      </c>
      <c r="G83" s="80">
        <f>SUM(G79:G82)</f>
        <v>322.48</v>
      </c>
      <c r="H83" s="80">
        <f>SUM(H79:H82)</f>
        <v>0.14400000000000002</v>
      </c>
      <c r="I83" s="80">
        <f>SUM(I79:I82)</f>
        <v>9.36</v>
      </c>
      <c r="J83" s="80">
        <f>SUM(J79:J82)</f>
        <v>0.12100000000000001</v>
      </c>
      <c r="K83" s="80">
        <f>SUM(K79:K82)</f>
        <v>52.959999999999994</v>
      </c>
      <c r="L83" s="80">
        <f>SUM(L79:L82)</f>
        <v>4.33</v>
      </c>
    </row>
    <row r="84" spans="1:12" ht="15.75" x14ac:dyDescent="0.25">
      <c r="A84" s="41"/>
      <c r="B84" s="212" t="s">
        <v>307</v>
      </c>
      <c r="C84" s="213"/>
      <c r="D84" s="80">
        <f>D69+D77+D83</f>
        <v>46.902000000000001</v>
      </c>
      <c r="E84" s="80">
        <f t="shared" ref="D84:L84" si="8">E69+E77+E83</f>
        <v>51.16</v>
      </c>
      <c r="F84" s="80">
        <f t="shared" si="8"/>
        <v>207.67400000000004</v>
      </c>
      <c r="G84" s="80">
        <f t="shared" si="8"/>
        <v>1434.99</v>
      </c>
      <c r="H84" s="80">
        <f t="shared" si="8"/>
        <v>0.91533333333333344</v>
      </c>
      <c r="I84" s="80">
        <f t="shared" si="8"/>
        <v>51.037599999999998</v>
      </c>
      <c r="J84" s="80">
        <f t="shared" si="8"/>
        <v>0.97966666666666669</v>
      </c>
      <c r="K84" s="80">
        <f t="shared" si="8"/>
        <v>668.93399999999997</v>
      </c>
      <c r="L84" s="80">
        <f t="shared" si="8"/>
        <v>10.392804000000002</v>
      </c>
    </row>
    <row r="85" spans="1:12" ht="15.75" x14ac:dyDescent="0.25">
      <c r="A85" s="10"/>
      <c r="B85" s="211" t="s">
        <v>89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</row>
    <row r="86" spans="1:12" ht="15.75" x14ac:dyDescent="0.25">
      <c r="A86" s="10"/>
      <c r="B86" s="205" t="s">
        <v>4</v>
      </c>
      <c r="C86" s="206" t="s">
        <v>5</v>
      </c>
      <c r="D86" s="208" t="s">
        <v>6</v>
      </c>
      <c r="E86" s="208"/>
      <c r="F86" s="208"/>
      <c r="G86" s="209" t="s">
        <v>7</v>
      </c>
      <c r="H86" s="208" t="s">
        <v>197</v>
      </c>
      <c r="I86" s="208"/>
      <c r="J86" s="208"/>
      <c r="K86" s="208" t="s">
        <v>222</v>
      </c>
      <c r="L86" s="208"/>
    </row>
    <row r="87" spans="1:12" ht="15.75" x14ac:dyDescent="0.25">
      <c r="A87" s="203" t="s">
        <v>3</v>
      </c>
      <c r="B87" s="205"/>
      <c r="C87" s="207"/>
      <c r="D87" s="5" t="s">
        <v>10</v>
      </c>
      <c r="E87" s="5" t="s">
        <v>11</v>
      </c>
      <c r="F87" s="5" t="s">
        <v>12</v>
      </c>
      <c r="G87" s="210"/>
      <c r="H87" s="5" t="s">
        <v>13</v>
      </c>
      <c r="I87" s="5" t="s">
        <v>14</v>
      </c>
      <c r="J87" s="5" t="s">
        <v>191</v>
      </c>
      <c r="K87" s="5" t="s">
        <v>17</v>
      </c>
      <c r="L87" s="5" t="s">
        <v>20</v>
      </c>
    </row>
    <row r="88" spans="1:12" ht="15.75" x14ac:dyDescent="0.25">
      <c r="A88" s="204"/>
      <c r="B88" s="7">
        <v>2</v>
      </c>
      <c r="C88" s="8">
        <v>3</v>
      </c>
      <c r="D88" s="8">
        <v>4</v>
      </c>
      <c r="E88" s="8">
        <v>5</v>
      </c>
      <c r="F88" s="8">
        <v>6</v>
      </c>
      <c r="G88" s="9">
        <v>7</v>
      </c>
      <c r="H88" s="8">
        <v>8</v>
      </c>
      <c r="I88" s="8">
        <v>9</v>
      </c>
      <c r="J88" s="8">
        <v>10</v>
      </c>
      <c r="K88" s="8">
        <v>12</v>
      </c>
      <c r="L88" s="8">
        <v>15</v>
      </c>
    </row>
    <row r="89" spans="1:12" ht="15.75" x14ac:dyDescent="0.25">
      <c r="A89" s="6">
        <v>1</v>
      </c>
      <c r="B89" s="54" t="s">
        <v>21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ht="15.75" x14ac:dyDescent="0.25">
      <c r="A90" s="10" t="s">
        <v>237</v>
      </c>
      <c r="B90" s="13" t="s">
        <v>236</v>
      </c>
      <c r="C90" s="14">
        <v>200</v>
      </c>
      <c r="D90" s="15">
        <v>5.42</v>
      </c>
      <c r="E90" s="15">
        <v>9.14</v>
      </c>
      <c r="F90" s="15">
        <v>29.1</v>
      </c>
      <c r="G90" s="15">
        <v>224.45</v>
      </c>
      <c r="H90" s="15">
        <v>0.1</v>
      </c>
      <c r="I90" s="15">
        <v>1.95</v>
      </c>
      <c r="J90" s="15">
        <v>0.24</v>
      </c>
      <c r="K90" s="15">
        <v>181.95</v>
      </c>
      <c r="L90" s="15">
        <v>0.7</v>
      </c>
    </row>
    <row r="91" spans="1:12" ht="15.75" x14ac:dyDescent="0.25">
      <c r="A91" s="29" t="s">
        <v>202</v>
      </c>
      <c r="B91" s="13" t="s">
        <v>25</v>
      </c>
      <c r="C91" s="16">
        <v>180</v>
      </c>
      <c r="D91" s="15">
        <v>2.85</v>
      </c>
      <c r="E91" s="15">
        <v>2.41</v>
      </c>
      <c r="F91" s="15">
        <v>14.36</v>
      </c>
      <c r="G91" s="15">
        <v>91</v>
      </c>
      <c r="H91" s="15">
        <v>0.04</v>
      </c>
      <c r="I91" s="15">
        <v>1.17</v>
      </c>
      <c r="J91" s="15">
        <v>0.14000000000000001</v>
      </c>
      <c r="K91" s="15">
        <v>113.2</v>
      </c>
      <c r="L91" s="15">
        <v>0.12</v>
      </c>
    </row>
    <row r="92" spans="1:12" ht="15.75" x14ac:dyDescent="0.25">
      <c r="A92" s="12" t="s">
        <v>92</v>
      </c>
      <c r="B92" s="13" t="s">
        <v>30</v>
      </c>
      <c r="C92" s="16">
        <v>32</v>
      </c>
      <c r="D92" s="15">
        <v>2.5299999999999998</v>
      </c>
      <c r="E92" s="19">
        <v>0.32</v>
      </c>
      <c r="F92" s="19">
        <f>C92*48.3/100</f>
        <v>15.456</v>
      </c>
      <c r="G92" s="19">
        <f>C92*235/100</f>
        <v>75.2</v>
      </c>
      <c r="H92" s="21">
        <v>0.05</v>
      </c>
      <c r="I92" s="21">
        <v>0</v>
      </c>
      <c r="J92" s="21">
        <v>0.02</v>
      </c>
      <c r="K92" s="21">
        <v>7.36</v>
      </c>
      <c r="L92" s="21">
        <v>0.64</v>
      </c>
    </row>
    <row r="93" spans="1:12" ht="15.75" x14ac:dyDescent="0.25">
      <c r="A93" s="29"/>
      <c r="B93" s="17" t="s">
        <v>27</v>
      </c>
      <c r="C93" s="16">
        <v>5.6</v>
      </c>
      <c r="D93" s="15">
        <f>C93*0.04/4.8</f>
        <v>4.6666666666666662E-2</v>
      </c>
      <c r="E93" s="15">
        <f>C93*0.06/4.8</f>
        <v>6.9999999999999993E-2</v>
      </c>
      <c r="F93" s="15">
        <f>C93*41.28/4.8</f>
        <v>48.16</v>
      </c>
      <c r="G93" s="15">
        <f>C93*41.28/4.8</f>
        <v>48.16</v>
      </c>
      <c r="H93" s="18">
        <f>C93*0/4.8</f>
        <v>0</v>
      </c>
      <c r="I93" s="18">
        <f>C83*0/4.8</f>
        <v>0</v>
      </c>
      <c r="J93" s="18">
        <f>C93*0/4.8</f>
        <v>0</v>
      </c>
      <c r="K93" s="18">
        <f>C93*1.15/4.8</f>
        <v>1.3416666666666666</v>
      </c>
      <c r="L93" s="18">
        <f>C93*0/4.8</f>
        <v>0</v>
      </c>
    </row>
    <row r="94" spans="1:12" ht="15.75" x14ac:dyDescent="0.25">
      <c r="A94" s="12"/>
      <c r="B94" s="17" t="s">
        <v>214</v>
      </c>
      <c r="C94" s="16">
        <v>80</v>
      </c>
      <c r="D94" s="19">
        <f>C94*1.5/100</f>
        <v>1.2</v>
      </c>
      <c r="E94" s="19">
        <f>C94*0.5/100</f>
        <v>0.4</v>
      </c>
      <c r="F94" s="19">
        <f>C94*21/100</f>
        <v>16.8</v>
      </c>
      <c r="G94" s="19">
        <f>C94*89.3/100</f>
        <v>71.44</v>
      </c>
      <c r="H94" s="20">
        <v>0.1</v>
      </c>
      <c r="I94" s="20">
        <f>C94*5/100</f>
        <v>4</v>
      </c>
      <c r="J94" s="20">
        <f>C94*0.1/100</f>
        <v>0.08</v>
      </c>
      <c r="K94" s="20">
        <v>17.12</v>
      </c>
      <c r="L94" s="20">
        <f>D94*0.6/100</f>
        <v>7.1999999999999998E-3</v>
      </c>
    </row>
    <row r="95" spans="1:12" ht="15.75" x14ac:dyDescent="0.25">
      <c r="A95" s="29"/>
      <c r="B95" s="2" t="s">
        <v>269</v>
      </c>
      <c r="C95" s="24">
        <f t="shared" ref="C95:L95" si="9">SUM(C90:C94)</f>
        <v>497.6</v>
      </c>
      <c r="D95" s="34">
        <f t="shared" si="9"/>
        <v>12.046666666666665</v>
      </c>
      <c r="E95" s="34">
        <f t="shared" si="9"/>
        <v>12.340000000000002</v>
      </c>
      <c r="F95" s="34">
        <f t="shared" si="9"/>
        <v>123.87599999999999</v>
      </c>
      <c r="G95" s="34">
        <f t="shared" si="9"/>
        <v>510.24999999999994</v>
      </c>
      <c r="H95" s="34">
        <f t="shared" si="9"/>
        <v>0.29000000000000004</v>
      </c>
      <c r="I95" s="34">
        <f t="shared" si="9"/>
        <v>7.12</v>
      </c>
      <c r="J95" s="34">
        <f t="shared" si="9"/>
        <v>0.48000000000000004</v>
      </c>
      <c r="K95" s="34">
        <f t="shared" si="9"/>
        <v>320.97166666666664</v>
      </c>
      <c r="L95" s="34">
        <f t="shared" si="9"/>
        <v>1.4672000000000001</v>
      </c>
    </row>
    <row r="96" spans="1:12" ht="15.75" x14ac:dyDescent="0.25">
      <c r="A96" s="41"/>
      <c r="B96" s="2" t="s">
        <v>35</v>
      </c>
      <c r="C96" s="16"/>
      <c r="D96" s="15"/>
      <c r="E96" s="15"/>
      <c r="F96" s="15"/>
      <c r="G96" s="15"/>
      <c r="H96" s="15"/>
      <c r="I96" s="15"/>
      <c r="J96" s="15"/>
      <c r="K96" s="15"/>
      <c r="L96" s="15"/>
    </row>
    <row r="97" spans="1:12" ht="15.75" x14ac:dyDescent="0.25">
      <c r="A97" s="40" t="s">
        <v>239</v>
      </c>
      <c r="B97" s="17" t="s">
        <v>238</v>
      </c>
      <c r="C97" s="16">
        <v>200</v>
      </c>
      <c r="D97" s="15">
        <v>1.82</v>
      </c>
      <c r="E97" s="15">
        <v>5.09</v>
      </c>
      <c r="F97" s="15">
        <v>13.43</v>
      </c>
      <c r="G97" s="15">
        <v>106.9</v>
      </c>
      <c r="H97" s="15">
        <v>7.8E-2</v>
      </c>
      <c r="I97" s="15">
        <v>6.03</v>
      </c>
      <c r="J97" s="15">
        <v>4.8000000000000001E-2</v>
      </c>
      <c r="K97" s="15">
        <v>21.16</v>
      </c>
      <c r="L97" s="15">
        <v>0.77</v>
      </c>
    </row>
    <row r="98" spans="1:12" ht="15.75" x14ac:dyDescent="0.25">
      <c r="A98" s="12" t="s">
        <v>241</v>
      </c>
      <c r="B98" s="17" t="s">
        <v>240</v>
      </c>
      <c r="C98" s="16">
        <v>200</v>
      </c>
      <c r="D98" s="15">
        <v>8</v>
      </c>
      <c r="E98" s="15">
        <v>12.5</v>
      </c>
      <c r="F98" s="15">
        <v>20.399999999999999</v>
      </c>
      <c r="G98" s="15">
        <v>227.27</v>
      </c>
      <c r="H98" s="15">
        <v>0.17100000000000001</v>
      </c>
      <c r="I98" s="15">
        <v>37</v>
      </c>
      <c r="J98" s="15">
        <v>0.183</v>
      </c>
      <c r="K98" s="15">
        <v>24.77</v>
      </c>
      <c r="L98" s="15">
        <v>3.08</v>
      </c>
    </row>
    <row r="99" spans="1:12" ht="15.75" x14ac:dyDescent="0.25">
      <c r="A99" s="29" t="s">
        <v>211</v>
      </c>
      <c r="B99" s="17" t="s">
        <v>212</v>
      </c>
      <c r="C99" s="14">
        <v>200</v>
      </c>
      <c r="D99" s="15">
        <v>0.08</v>
      </c>
      <c r="E99" s="19">
        <v>0.06</v>
      </c>
      <c r="F99" s="19">
        <v>20.5</v>
      </c>
      <c r="G99" s="19">
        <v>83.16</v>
      </c>
      <c r="H99" s="21">
        <v>0</v>
      </c>
      <c r="I99" s="21">
        <v>0.18</v>
      </c>
      <c r="J99" s="21">
        <v>1E-3</v>
      </c>
      <c r="K99" s="21">
        <v>9</v>
      </c>
      <c r="L99" s="21">
        <v>0.25</v>
      </c>
    </row>
    <row r="100" spans="1:12" ht="15.75" x14ac:dyDescent="0.25">
      <c r="A100" s="12" t="s">
        <v>64</v>
      </c>
      <c r="B100" s="48" t="s">
        <v>242</v>
      </c>
      <c r="C100" s="16">
        <v>60</v>
      </c>
      <c r="D100" s="19">
        <v>1</v>
      </c>
      <c r="E100" s="19">
        <v>4.05</v>
      </c>
      <c r="F100" s="19">
        <v>5.83</v>
      </c>
      <c r="G100" s="19">
        <v>62.87</v>
      </c>
      <c r="H100" s="20">
        <v>1.2999999999999999E-2</v>
      </c>
      <c r="I100" s="20">
        <v>22.8</v>
      </c>
      <c r="J100" s="20">
        <v>0.09</v>
      </c>
      <c r="K100" s="20">
        <v>27.12</v>
      </c>
      <c r="L100" s="20">
        <v>0.35</v>
      </c>
    </row>
    <row r="101" spans="1:12" ht="15.75" x14ac:dyDescent="0.25">
      <c r="A101" s="40"/>
      <c r="B101" s="17" t="s">
        <v>46</v>
      </c>
      <c r="C101" s="16">
        <v>40</v>
      </c>
      <c r="D101" s="15">
        <v>3.4</v>
      </c>
      <c r="E101" s="19">
        <v>1.32</v>
      </c>
      <c r="F101" s="19">
        <v>17</v>
      </c>
      <c r="G101" s="19">
        <v>103.6</v>
      </c>
      <c r="H101" s="21">
        <v>0.17</v>
      </c>
      <c r="I101" s="21">
        <v>0.16</v>
      </c>
      <c r="J101" s="21">
        <v>0.13</v>
      </c>
      <c r="K101" s="21">
        <v>13.2</v>
      </c>
      <c r="L101" s="21">
        <v>0.05</v>
      </c>
    </row>
    <row r="102" spans="1:12" ht="15.75" x14ac:dyDescent="0.25">
      <c r="A102" s="40"/>
      <c r="B102" s="54" t="s">
        <v>271</v>
      </c>
      <c r="C102" s="141">
        <f>SUM(C97:C101)</f>
        <v>700</v>
      </c>
      <c r="D102" s="42">
        <f>SUM(D97:D101)</f>
        <v>14.3</v>
      </c>
      <c r="E102" s="42">
        <f>SUM(E97:E101)</f>
        <v>23.02</v>
      </c>
      <c r="F102" s="42">
        <f>SUM(F97:F101)</f>
        <v>77.16</v>
      </c>
      <c r="G102" s="42">
        <f>SUM(G97:G101)</f>
        <v>583.80000000000007</v>
      </c>
      <c r="H102" s="42">
        <f>SUM(H97:H101)</f>
        <v>0.43200000000000005</v>
      </c>
      <c r="I102" s="42">
        <f>SUM(I97:I101)</f>
        <v>66.17</v>
      </c>
      <c r="J102" s="42">
        <f>SUM(J97:J101)</f>
        <v>0.45199999999999996</v>
      </c>
      <c r="K102" s="42">
        <f>SUM(K97:K101)</f>
        <v>95.25</v>
      </c>
      <c r="L102" s="42">
        <f>SUM(L97:L101)</f>
        <v>4.4999999999999991</v>
      </c>
    </row>
    <row r="103" spans="1:12" ht="15.75" x14ac:dyDescent="0.25">
      <c r="A103" s="40"/>
      <c r="B103" s="54" t="s">
        <v>178</v>
      </c>
      <c r="C103" s="141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ht="15.75" x14ac:dyDescent="0.25">
      <c r="A104" s="40" t="s">
        <v>225</v>
      </c>
      <c r="B104" s="13" t="s">
        <v>224</v>
      </c>
      <c r="C104" s="86">
        <v>60</v>
      </c>
      <c r="D104" s="147">
        <v>0.8</v>
      </c>
      <c r="E104" s="147">
        <v>3.1230000000000002</v>
      </c>
      <c r="F104" s="147">
        <v>5.14</v>
      </c>
      <c r="G104" s="147">
        <v>51.96</v>
      </c>
      <c r="H104" s="147">
        <v>0.04</v>
      </c>
      <c r="I104" s="147">
        <v>7.2</v>
      </c>
      <c r="J104" s="147">
        <v>2.5999999999999999E-2</v>
      </c>
      <c r="K104" s="147">
        <v>12.8</v>
      </c>
      <c r="L104" s="147">
        <v>0.43</v>
      </c>
    </row>
    <row r="105" spans="1:12" ht="15.75" x14ac:dyDescent="0.25">
      <c r="A105" s="40" t="s">
        <v>190</v>
      </c>
      <c r="B105" s="13" t="s">
        <v>221</v>
      </c>
      <c r="C105" s="86">
        <v>180</v>
      </c>
      <c r="D105" s="147">
        <v>0.75</v>
      </c>
      <c r="E105" s="147">
        <v>0</v>
      </c>
      <c r="F105" s="147">
        <v>15.15</v>
      </c>
      <c r="G105" s="147">
        <v>64</v>
      </c>
      <c r="H105" s="147">
        <v>0.02</v>
      </c>
      <c r="I105" s="147">
        <v>3</v>
      </c>
      <c r="J105" s="147">
        <v>0.02</v>
      </c>
      <c r="K105" s="147">
        <v>10.5</v>
      </c>
      <c r="L105" s="147">
        <v>2.1</v>
      </c>
    </row>
    <row r="106" spans="1:12" ht="15.75" x14ac:dyDescent="0.25">
      <c r="A106" s="40" t="s">
        <v>226</v>
      </c>
      <c r="B106" s="13" t="s">
        <v>30</v>
      </c>
      <c r="C106" s="16">
        <v>32</v>
      </c>
      <c r="D106" s="15">
        <v>2.5299999999999998</v>
      </c>
      <c r="E106" s="19">
        <v>0.32</v>
      </c>
      <c r="F106" s="19">
        <f>C106*48.3/100</f>
        <v>15.456</v>
      </c>
      <c r="G106" s="19">
        <f>C106*235/100</f>
        <v>75.2</v>
      </c>
      <c r="H106" s="21">
        <v>0.05</v>
      </c>
      <c r="I106" s="21">
        <v>0</v>
      </c>
      <c r="J106" s="21">
        <v>0.02</v>
      </c>
      <c r="K106" s="21">
        <v>7.36</v>
      </c>
      <c r="L106" s="21">
        <v>0.64</v>
      </c>
    </row>
    <row r="107" spans="1:12" ht="15.75" x14ac:dyDescent="0.25">
      <c r="A107" s="40"/>
      <c r="B107" s="78" t="s">
        <v>270</v>
      </c>
      <c r="C107" s="79">
        <f t="shared" ref="C107:L107" si="10">SUM(C104:C106)</f>
        <v>272</v>
      </c>
      <c r="D107" s="80">
        <f t="shared" si="10"/>
        <v>4.08</v>
      </c>
      <c r="E107" s="80">
        <f t="shared" si="10"/>
        <v>3.4430000000000001</v>
      </c>
      <c r="F107" s="80">
        <f t="shared" si="10"/>
        <v>35.745999999999995</v>
      </c>
      <c r="G107" s="80">
        <f t="shared" si="10"/>
        <v>191.16000000000003</v>
      </c>
      <c r="H107" s="80">
        <f t="shared" si="10"/>
        <v>0.11</v>
      </c>
      <c r="I107" s="80">
        <f t="shared" si="10"/>
        <v>10.199999999999999</v>
      </c>
      <c r="J107" s="80">
        <f t="shared" si="10"/>
        <v>6.6000000000000003E-2</v>
      </c>
      <c r="K107" s="80">
        <f t="shared" si="10"/>
        <v>30.66</v>
      </c>
      <c r="L107" s="80">
        <f t="shared" si="10"/>
        <v>3.1700000000000004</v>
      </c>
    </row>
    <row r="108" spans="1:12" ht="15.75" x14ac:dyDescent="0.25">
      <c r="A108" s="41"/>
      <c r="B108" s="212" t="s">
        <v>196</v>
      </c>
      <c r="C108" s="213"/>
      <c r="D108" s="80">
        <f t="shared" ref="D108:L108" si="11">D95+D102+D107</f>
        <v>30.426666666666662</v>
      </c>
      <c r="E108" s="80">
        <f t="shared" si="11"/>
        <v>38.802999999999997</v>
      </c>
      <c r="F108" s="80">
        <f t="shared" si="11"/>
        <v>236.78199999999998</v>
      </c>
      <c r="G108" s="80">
        <f t="shared" si="11"/>
        <v>1285.21</v>
      </c>
      <c r="H108" s="80">
        <f t="shared" si="11"/>
        <v>0.83200000000000007</v>
      </c>
      <c r="I108" s="80">
        <f t="shared" si="11"/>
        <v>83.490000000000009</v>
      </c>
      <c r="J108" s="80">
        <f t="shared" si="11"/>
        <v>0.998</v>
      </c>
      <c r="K108" s="80">
        <f t="shared" si="11"/>
        <v>446.88166666666666</v>
      </c>
      <c r="L108" s="80">
        <f t="shared" si="11"/>
        <v>9.1372</v>
      </c>
    </row>
    <row r="109" spans="1:12" ht="15.75" x14ac:dyDescent="0.25">
      <c r="A109" s="10"/>
      <c r="B109" s="214"/>
      <c r="C109" s="215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5.75" x14ac:dyDescent="0.25">
      <c r="A110" s="10"/>
      <c r="B110" s="211" t="s">
        <v>104</v>
      </c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</row>
    <row r="111" spans="1:12" ht="15.75" x14ac:dyDescent="0.25">
      <c r="A111" s="10"/>
      <c r="B111" s="205" t="s">
        <v>4</v>
      </c>
      <c r="C111" s="218" t="s">
        <v>5</v>
      </c>
      <c r="D111" s="208" t="s">
        <v>6</v>
      </c>
      <c r="E111" s="208"/>
      <c r="F111" s="208"/>
      <c r="G111" s="206" t="s">
        <v>7</v>
      </c>
      <c r="H111" s="208" t="s">
        <v>197</v>
      </c>
      <c r="I111" s="208"/>
      <c r="J111" s="208"/>
      <c r="K111" s="208" t="s">
        <v>192</v>
      </c>
      <c r="L111" s="208"/>
    </row>
    <row r="112" spans="1:12" ht="15.75" x14ac:dyDescent="0.25">
      <c r="A112" s="203" t="s">
        <v>3</v>
      </c>
      <c r="B112" s="205"/>
      <c r="C112" s="219"/>
      <c r="D112" s="52" t="s">
        <v>10</v>
      </c>
      <c r="E112" s="52" t="s">
        <v>11</v>
      </c>
      <c r="F112" s="52" t="s">
        <v>12</v>
      </c>
      <c r="G112" s="207"/>
      <c r="H112" s="52" t="s">
        <v>13</v>
      </c>
      <c r="I112" s="52" t="s">
        <v>14</v>
      </c>
      <c r="J112" s="52" t="s">
        <v>191</v>
      </c>
      <c r="K112" s="52" t="s">
        <v>17</v>
      </c>
      <c r="L112" s="52" t="s">
        <v>20</v>
      </c>
    </row>
    <row r="113" spans="1:14" ht="15.75" x14ac:dyDescent="0.25">
      <c r="A113" s="204"/>
      <c r="B113" s="7">
        <v>2</v>
      </c>
      <c r="C113" s="8">
        <v>3</v>
      </c>
      <c r="D113" s="8">
        <v>4</v>
      </c>
      <c r="E113" s="8">
        <v>5</v>
      </c>
      <c r="F113" s="8">
        <v>6</v>
      </c>
      <c r="G113" s="9">
        <v>7</v>
      </c>
      <c r="H113" s="8">
        <v>8</v>
      </c>
      <c r="I113" s="8">
        <v>9</v>
      </c>
      <c r="J113" s="8">
        <v>10</v>
      </c>
      <c r="K113" s="8">
        <v>12</v>
      </c>
      <c r="L113" s="8">
        <v>15</v>
      </c>
    </row>
    <row r="114" spans="1:14" ht="15.75" x14ac:dyDescent="0.25">
      <c r="A114" s="6">
        <v>1</v>
      </c>
      <c r="B114" s="54" t="s">
        <v>21</v>
      </c>
      <c r="C114" s="16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4" ht="15.75" x14ac:dyDescent="0.25">
      <c r="A115" s="43" t="s">
        <v>245</v>
      </c>
      <c r="B115" s="13" t="s">
        <v>243</v>
      </c>
      <c r="C115" s="16">
        <v>200</v>
      </c>
      <c r="D115" s="15">
        <v>6.82</v>
      </c>
      <c r="E115" s="15">
        <v>9.24</v>
      </c>
      <c r="F115" s="15">
        <v>29.98</v>
      </c>
      <c r="G115" s="15">
        <v>223.85</v>
      </c>
      <c r="H115" s="15">
        <v>0.12</v>
      </c>
      <c r="I115" s="15">
        <v>1.95</v>
      </c>
      <c r="J115" s="15">
        <v>0.24</v>
      </c>
      <c r="K115" s="15">
        <v>180.7</v>
      </c>
      <c r="L115" s="15">
        <v>0.51</v>
      </c>
    </row>
    <row r="116" spans="1:14" ht="15.75" x14ac:dyDescent="0.25">
      <c r="A116" s="12" t="s">
        <v>246</v>
      </c>
      <c r="B116" s="13" t="s">
        <v>244</v>
      </c>
      <c r="C116" s="16">
        <v>180</v>
      </c>
      <c r="D116" s="15">
        <v>0.06</v>
      </c>
      <c r="E116" s="15">
        <v>0.02</v>
      </c>
      <c r="F116" s="15">
        <v>9.99</v>
      </c>
      <c r="G116" s="15">
        <v>40</v>
      </c>
      <c r="H116" s="18">
        <v>0</v>
      </c>
      <c r="I116" s="18">
        <v>0.03</v>
      </c>
      <c r="J116" s="18">
        <v>0</v>
      </c>
      <c r="K116" s="18">
        <v>10</v>
      </c>
      <c r="L116" s="18">
        <v>0.28000000000000003</v>
      </c>
    </row>
    <row r="117" spans="1:14" ht="15.75" x14ac:dyDescent="0.25">
      <c r="A117" s="12"/>
      <c r="B117" s="17" t="s">
        <v>30</v>
      </c>
      <c r="C117" s="16">
        <v>32</v>
      </c>
      <c r="D117" s="15">
        <v>2.5299999999999998</v>
      </c>
      <c r="E117" s="19">
        <v>0.32</v>
      </c>
      <c r="F117" s="19">
        <f>C117*48.3/100</f>
        <v>15.456</v>
      </c>
      <c r="G117" s="19">
        <f>C117*235/100</f>
        <v>75.2</v>
      </c>
      <c r="H117" s="21">
        <v>0.05</v>
      </c>
      <c r="I117" s="21">
        <v>0</v>
      </c>
      <c r="J117" s="21">
        <v>0.02</v>
      </c>
      <c r="K117" s="21">
        <v>7.36</v>
      </c>
      <c r="L117" s="21">
        <v>0.64</v>
      </c>
    </row>
    <row r="118" spans="1:14" ht="15.75" x14ac:dyDescent="0.25">
      <c r="A118" s="12"/>
      <c r="B118" s="17" t="s">
        <v>27</v>
      </c>
      <c r="C118" s="16">
        <v>4.2</v>
      </c>
      <c r="D118" s="15">
        <f>C118*0.1/10</f>
        <v>4.2000000000000003E-2</v>
      </c>
      <c r="E118" s="15">
        <f>C118*7.2/10</f>
        <v>3.024</v>
      </c>
      <c r="F118" s="15">
        <f>C118*0.1/10</f>
        <v>4.2000000000000003E-2</v>
      </c>
      <c r="G118" s="15">
        <f>C118*66/10</f>
        <v>27.72</v>
      </c>
      <c r="H118" s="18">
        <v>0</v>
      </c>
      <c r="I118" s="18">
        <f>C118*0.28/10</f>
        <v>0.11760000000000001</v>
      </c>
      <c r="J118" s="18">
        <v>0</v>
      </c>
      <c r="K118" s="18">
        <f>C118*2.2/10</f>
        <v>0.92400000000000015</v>
      </c>
      <c r="L118" s="18">
        <f>D118*0.02/10</f>
        <v>8.4000000000000009E-5</v>
      </c>
    </row>
    <row r="119" spans="1:14" ht="15.75" x14ac:dyDescent="0.25">
      <c r="A119" s="12"/>
      <c r="B119" s="17" t="s">
        <v>29</v>
      </c>
      <c r="C119" s="16">
        <v>10</v>
      </c>
      <c r="D119" s="15">
        <f>C119*6.96/30</f>
        <v>2.3199999999999998</v>
      </c>
      <c r="E119" s="19">
        <f>C119*8.85/30</f>
        <v>2.95</v>
      </c>
      <c r="F119" s="19">
        <v>0</v>
      </c>
      <c r="G119" s="19">
        <f>C119*109.2/30</f>
        <v>36.4</v>
      </c>
      <c r="H119" s="20">
        <f>C119*0.01/30</f>
        <v>3.3333333333333335E-3</v>
      </c>
      <c r="I119" s="20">
        <f>C119*0.48/30</f>
        <v>0.16</v>
      </c>
      <c r="J119" s="20">
        <f>C119*0.08/30</f>
        <v>2.6666666666666668E-2</v>
      </c>
      <c r="K119" s="20">
        <v>80</v>
      </c>
      <c r="L119" s="20">
        <f>D119*0.33/30</f>
        <v>2.5519999999999998E-2</v>
      </c>
    </row>
    <row r="120" spans="1:14" ht="15.75" x14ac:dyDescent="0.25">
      <c r="A120" s="12"/>
      <c r="B120" s="17" t="s">
        <v>214</v>
      </c>
      <c r="C120" s="16">
        <v>80</v>
      </c>
      <c r="D120" s="19">
        <f>C120*1.5/100</f>
        <v>1.2</v>
      </c>
      <c r="E120" s="19">
        <f>C120*0.5/100</f>
        <v>0.4</v>
      </c>
      <c r="F120" s="19">
        <f>C120*21/100</f>
        <v>16.8</v>
      </c>
      <c r="G120" s="19">
        <f>C120*89.3/100</f>
        <v>71.44</v>
      </c>
      <c r="H120" s="20">
        <v>0.1</v>
      </c>
      <c r="I120" s="20">
        <f>C120*5/100</f>
        <v>4</v>
      </c>
      <c r="J120" s="20">
        <f>C120*0.1/100</f>
        <v>0.08</v>
      </c>
      <c r="K120" s="20">
        <v>17.12</v>
      </c>
      <c r="L120" s="20">
        <f>D120*0.6/100</f>
        <v>7.1999999999999998E-3</v>
      </c>
    </row>
    <row r="121" spans="1:14" ht="15.75" x14ac:dyDescent="0.25">
      <c r="A121" s="12"/>
      <c r="B121" s="23" t="s">
        <v>269</v>
      </c>
      <c r="C121" s="24">
        <f>SUM(C115:C120)</f>
        <v>506.2</v>
      </c>
      <c r="D121" s="34">
        <f t="shared" ref="D121:L121" si="12">SUM(D115:D120)</f>
        <v>12.972</v>
      </c>
      <c r="E121" s="34">
        <f t="shared" si="12"/>
        <v>15.953999999999999</v>
      </c>
      <c r="F121" s="34">
        <f t="shared" si="12"/>
        <v>72.268000000000001</v>
      </c>
      <c r="G121" s="34">
        <f t="shared" si="12"/>
        <v>474.60999999999996</v>
      </c>
      <c r="H121" s="34">
        <f t="shared" si="12"/>
        <v>0.27333333333333332</v>
      </c>
      <c r="I121" s="34">
        <f t="shared" si="12"/>
        <v>6.2576000000000001</v>
      </c>
      <c r="J121" s="34">
        <f t="shared" si="12"/>
        <v>0.3666666666666667</v>
      </c>
      <c r="K121" s="34">
        <f t="shared" si="12"/>
        <v>296.10400000000004</v>
      </c>
      <c r="L121" s="34">
        <f t="shared" si="12"/>
        <v>1.4628040000000002</v>
      </c>
    </row>
    <row r="122" spans="1:14" ht="15.75" x14ac:dyDescent="0.25">
      <c r="A122" s="12"/>
      <c r="B122" s="2" t="s">
        <v>35</v>
      </c>
      <c r="C122" s="16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4" ht="15.75" x14ac:dyDescent="0.25">
      <c r="A123" s="10" t="s">
        <v>248</v>
      </c>
      <c r="B123" s="154" t="s">
        <v>247</v>
      </c>
      <c r="C123" s="14">
        <v>200</v>
      </c>
      <c r="D123" s="15">
        <v>2.34</v>
      </c>
      <c r="E123" s="19">
        <v>2.82</v>
      </c>
      <c r="F123" s="19">
        <v>16.71</v>
      </c>
      <c r="G123" s="19">
        <v>101</v>
      </c>
      <c r="H123" s="19">
        <v>0.13</v>
      </c>
      <c r="I123" s="19">
        <v>12</v>
      </c>
      <c r="J123" s="19">
        <v>0.08</v>
      </c>
      <c r="K123" s="19">
        <v>25.85</v>
      </c>
      <c r="L123" s="19">
        <v>1.17</v>
      </c>
    </row>
    <row r="124" spans="1:14" ht="15.75" x14ac:dyDescent="0.25">
      <c r="A124" s="60" t="s">
        <v>92</v>
      </c>
      <c r="B124" s="17" t="s">
        <v>163</v>
      </c>
      <c r="C124" s="16">
        <v>170</v>
      </c>
      <c r="D124" s="15">
        <v>5.9</v>
      </c>
      <c r="E124" s="19">
        <v>10.17</v>
      </c>
      <c r="F124" s="19">
        <v>22.19</v>
      </c>
      <c r="G124" s="19">
        <v>246.3</v>
      </c>
      <c r="H124" s="21">
        <v>0.09</v>
      </c>
      <c r="I124" s="21">
        <v>22.5</v>
      </c>
      <c r="J124" s="21">
        <v>0.16</v>
      </c>
      <c r="K124" s="21" t="s">
        <v>250</v>
      </c>
      <c r="L124" s="21">
        <v>1.83</v>
      </c>
    </row>
    <row r="125" spans="1:14" ht="15.75" x14ac:dyDescent="0.25">
      <c r="A125" s="12" t="s">
        <v>251</v>
      </c>
      <c r="B125" s="17" t="s">
        <v>249</v>
      </c>
      <c r="C125" s="14">
        <v>30</v>
      </c>
      <c r="D125" s="15">
        <v>0.56999999999999995</v>
      </c>
      <c r="E125" s="19">
        <v>0.9</v>
      </c>
      <c r="F125" s="19">
        <v>2.38</v>
      </c>
      <c r="G125" s="19">
        <v>27.7</v>
      </c>
      <c r="H125" s="21">
        <v>8.0000000000000002E-3</v>
      </c>
      <c r="I125" s="21">
        <v>0.69</v>
      </c>
      <c r="J125" s="21">
        <v>8.9999999999999993E-3</v>
      </c>
      <c r="K125" s="21">
        <v>10.1</v>
      </c>
      <c r="L125" s="21">
        <v>0.16</v>
      </c>
    </row>
    <row r="126" spans="1:14" ht="15.75" x14ac:dyDescent="0.25">
      <c r="A126" s="12"/>
      <c r="B126" s="17" t="s">
        <v>252</v>
      </c>
      <c r="C126" s="16">
        <v>60</v>
      </c>
      <c r="D126" s="57">
        <v>0.52</v>
      </c>
      <c r="E126" s="57">
        <v>0.12</v>
      </c>
      <c r="F126" s="57">
        <v>2.33</v>
      </c>
      <c r="G126" s="57">
        <v>9.8000000000000007</v>
      </c>
      <c r="H126" s="57">
        <v>0</v>
      </c>
      <c r="I126" s="57">
        <v>8.2200000000000006</v>
      </c>
      <c r="J126" s="57">
        <v>0</v>
      </c>
      <c r="K126" s="57">
        <v>6</v>
      </c>
      <c r="L126" s="57">
        <v>0.18</v>
      </c>
      <c r="N126" s="133"/>
    </row>
    <row r="127" spans="1:14" ht="15.75" x14ac:dyDescent="0.25">
      <c r="A127" s="12"/>
      <c r="B127" s="17" t="s">
        <v>253</v>
      </c>
      <c r="C127" s="86">
        <v>180</v>
      </c>
      <c r="D127" s="147">
        <v>0.39</v>
      </c>
      <c r="E127" s="147">
        <v>1.7999999999999999E-2</v>
      </c>
      <c r="F127" s="147">
        <v>24.9</v>
      </c>
      <c r="G127" s="147">
        <v>101.7</v>
      </c>
      <c r="H127" s="147">
        <v>1E-3</v>
      </c>
      <c r="I127" s="147">
        <v>0.36</v>
      </c>
      <c r="J127" s="147">
        <v>5.0000000000000001E-3</v>
      </c>
      <c r="K127" s="147">
        <v>28.6</v>
      </c>
      <c r="L127" s="147">
        <v>1.1200000000000001</v>
      </c>
      <c r="N127" s="133"/>
    </row>
    <row r="128" spans="1:14" ht="15.75" x14ac:dyDescent="0.25">
      <c r="A128" s="40"/>
      <c r="B128" s="17" t="s">
        <v>46</v>
      </c>
      <c r="C128" s="16">
        <v>40</v>
      </c>
      <c r="D128" s="15">
        <v>3.4</v>
      </c>
      <c r="E128" s="19">
        <v>1.32</v>
      </c>
      <c r="F128" s="19">
        <v>17</v>
      </c>
      <c r="G128" s="19">
        <v>103.6</v>
      </c>
      <c r="H128" s="21">
        <v>0.17</v>
      </c>
      <c r="I128" s="21">
        <v>0.16</v>
      </c>
      <c r="J128" s="21">
        <v>0.13</v>
      </c>
      <c r="K128" s="21">
        <v>13.2</v>
      </c>
      <c r="L128" s="21">
        <v>0.05</v>
      </c>
      <c r="N128" s="133"/>
    </row>
    <row r="129" spans="1:15" ht="15.75" x14ac:dyDescent="0.25">
      <c r="A129" s="40"/>
      <c r="B129" s="78" t="s">
        <v>271</v>
      </c>
      <c r="C129" s="141">
        <f t="shared" ref="C129:L129" si="13">SUM(C123:C128)</f>
        <v>680</v>
      </c>
      <c r="D129" s="42">
        <f t="shared" si="13"/>
        <v>13.120000000000001</v>
      </c>
      <c r="E129" s="42">
        <f t="shared" si="13"/>
        <v>15.348000000000001</v>
      </c>
      <c r="F129" s="42">
        <f t="shared" si="13"/>
        <v>85.51</v>
      </c>
      <c r="G129" s="42">
        <f t="shared" si="13"/>
        <v>590.1</v>
      </c>
      <c r="H129" s="42">
        <f t="shared" si="13"/>
        <v>0.39900000000000002</v>
      </c>
      <c r="I129" s="42">
        <f t="shared" si="13"/>
        <v>43.929999999999993</v>
      </c>
      <c r="J129" s="42">
        <f t="shared" si="13"/>
        <v>0.38400000000000001</v>
      </c>
      <c r="K129" s="42">
        <f t="shared" si="13"/>
        <v>83.750000000000014</v>
      </c>
      <c r="L129" s="42">
        <f t="shared" si="13"/>
        <v>4.5100000000000007</v>
      </c>
      <c r="N129" s="133"/>
    </row>
    <row r="130" spans="1:15" ht="15.75" x14ac:dyDescent="0.25">
      <c r="A130" s="40"/>
      <c r="B130" s="54" t="s">
        <v>178</v>
      </c>
      <c r="C130" s="86"/>
      <c r="D130" s="147"/>
      <c r="E130" s="147"/>
      <c r="F130" s="147"/>
      <c r="G130" s="147"/>
      <c r="H130" s="147"/>
      <c r="I130" s="147"/>
      <c r="J130" s="147"/>
      <c r="K130" s="147"/>
      <c r="L130" s="147"/>
      <c r="N130" s="133"/>
    </row>
    <row r="131" spans="1:15" ht="15.75" x14ac:dyDescent="0.25">
      <c r="A131" s="40" t="s">
        <v>255</v>
      </c>
      <c r="B131" s="13" t="s">
        <v>254</v>
      </c>
      <c r="C131" s="86">
        <v>60</v>
      </c>
      <c r="D131" s="147">
        <v>3.9</v>
      </c>
      <c r="E131" s="147">
        <v>3.06</v>
      </c>
      <c r="F131" s="147">
        <v>26.93</v>
      </c>
      <c r="G131" s="147">
        <v>151</v>
      </c>
      <c r="H131" s="147">
        <v>7.0000000000000007E-2</v>
      </c>
      <c r="I131" s="147">
        <v>0</v>
      </c>
      <c r="J131" s="147">
        <v>0.04</v>
      </c>
      <c r="K131" s="147">
        <v>11.3</v>
      </c>
      <c r="L131" s="147">
        <v>0.73</v>
      </c>
      <c r="N131" s="133"/>
    </row>
    <row r="132" spans="1:15" ht="15.75" x14ac:dyDescent="0.25">
      <c r="A132" s="40" t="s">
        <v>257</v>
      </c>
      <c r="B132" s="13" t="s">
        <v>256</v>
      </c>
      <c r="C132" s="86">
        <v>60</v>
      </c>
      <c r="D132" s="147">
        <v>0.51</v>
      </c>
      <c r="E132" s="147">
        <v>3.13</v>
      </c>
      <c r="F132" s="147">
        <v>4.72</v>
      </c>
      <c r="G132" s="147">
        <v>49.14</v>
      </c>
      <c r="H132" s="147">
        <v>2.7E-2</v>
      </c>
      <c r="I132" s="147">
        <v>4.17</v>
      </c>
      <c r="J132" s="147">
        <v>2.7E-2</v>
      </c>
      <c r="K132" s="147">
        <v>12.71</v>
      </c>
      <c r="L132" s="147">
        <v>0.79</v>
      </c>
      <c r="N132" s="133"/>
    </row>
    <row r="133" spans="1:15" ht="15.75" x14ac:dyDescent="0.25">
      <c r="A133" s="40" t="s">
        <v>258</v>
      </c>
      <c r="B133" s="13" t="s">
        <v>56</v>
      </c>
      <c r="C133" s="86">
        <v>180</v>
      </c>
      <c r="D133" s="147">
        <v>5.22</v>
      </c>
      <c r="E133" s="147">
        <v>4.5</v>
      </c>
      <c r="F133" s="147">
        <v>7.56</v>
      </c>
      <c r="G133" s="147">
        <v>92</v>
      </c>
      <c r="H133" s="147">
        <v>0.04</v>
      </c>
      <c r="I133" s="147">
        <v>0.54</v>
      </c>
      <c r="J133" s="147">
        <v>0.23</v>
      </c>
      <c r="K133" s="147">
        <v>232</v>
      </c>
      <c r="L133" s="147">
        <v>0.18</v>
      </c>
      <c r="N133" s="133"/>
    </row>
    <row r="134" spans="1:15" ht="15.75" x14ac:dyDescent="0.25">
      <c r="A134" s="40"/>
      <c r="B134" s="17" t="s">
        <v>30</v>
      </c>
      <c r="C134" s="16">
        <v>32</v>
      </c>
      <c r="D134" s="15">
        <v>2.5299999999999998</v>
      </c>
      <c r="E134" s="19">
        <v>0.32</v>
      </c>
      <c r="F134" s="19">
        <f>C134*48.3/100</f>
        <v>15.456</v>
      </c>
      <c r="G134" s="19">
        <f>C134*235/100</f>
        <v>75.2</v>
      </c>
      <c r="H134" s="21">
        <v>0.05</v>
      </c>
      <c r="I134" s="21">
        <v>0</v>
      </c>
      <c r="J134" s="21">
        <v>0.02</v>
      </c>
      <c r="K134" s="21">
        <v>7.36</v>
      </c>
      <c r="L134" s="21">
        <v>0.64</v>
      </c>
      <c r="N134" s="133"/>
    </row>
    <row r="135" spans="1:15" ht="15.75" x14ac:dyDescent="0.25">
      <c r="A135" s="40"/>
      <c r="B135" s="78" t="s">
        <v>270</v>
      </c>
      <c r="C135" s="79">
        <f t="shared" ref="C135:L135" si="14">SUM(C131:C134)</f>
        <v>332</v>
      </c>
      <c r="D135" s="80">
        <f t="shared" si="14"/>
        <v>12.159999999999998</v>
      </c>
      <c r="E135" s="80">
        <f t="shared" si="14"/>
        <v>11.01</v>
      </c>
      <c r="F135" s="80">
        <f t="shared" si="14"/>
        <v>54.665999999999997</v>
      </c>
      <c r="G135" s="80">
        <f t="shared" si="14"/>
        <v>367.34</v>
      </c>
      <c r="H135" s="80">
        <f t="shared" si="14"/>
        <v>0.187</v>
      </c>
      <c r="I135" s="80">
        <f t="shared" si="14"/>
        <v>4.71</v>
      </c>
      <c r="J135" s="80">
        <f t="shared" si="14"/>
        <v>0.31700000000000006</v>
      </c>
      <c r="K135" s="80">
        <f t="shared" si="14"/>
        <v>263.37</v>
      </c>
      <c r="L135" s="80">
        <f t="shared" si="14"/>
        <v>2.34</v>
      </c>
      <c r="N135" s="133"/>
    </row>
    <row r="136" spans="1:15" ht="15.75" x14ac:dyDescent="0.25">
      <c r="A136" s="43"/>
      <c r="B136" s="63" t="s">
        <v>196</v>
      </c>
      <c r="C136" s="182">
        <f t="shared" ref="C136:L136" si="15">C121+C129+C135</f>
        <v>1518.2</v>
      </c>
      <c r="D136" s="183">
        <f t="shared" si="15"/>
        <v>38.251999999999995</v>
      </c>
      <c r="E136" s="183">
        <f t="shared" si="15"/>
        <v>42.311999999999998</v>
      </c>
      <c r="F136" s="183">
        <f t="shared" si="15"/>
        <v>212.44400000000002</v>
      </c>
      <c r="G136" s="183">
        <f t="shared" si="15"/>
        <v>1432.05</v>
      </c>
      <c r="H136" s="183">
        <f t="shared" si="15"/>
        <v>0.85933333333333328</v>
      </c>
      <c r="I136" s="183">
        <f t="shared" si="15"/>
        <v>54.89759999999999</v>
      </c>
      <c r="J136" s="183">
        <f t="shared" si="15"/>
        <v>1.0676666666666668</v>
      </c>
      <c r="K136" s="183">
        <f t="shared" si="15"/>
        <v>643.22400000000005</v>
      </c>
      <c r="L136" s="183">
        <f t="shared" si="15"/>
        <v>8.3128039999999999</v>
      </c>
      <c r="N136" s="134"/>
      <c r="O136" s="188"/>
    </row>
    <row r="137" spans="1:15" ht="15.75" x14ac:dyDescent="0.25">
      <c r="A137" s="12"/>
      <c r="B137" s="23"/>
      <c r="C137" s="64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5" ht="15.75" x14ac:dyDescent="0.25">
      <c r="A138" s="232"/>
      <c r="B138" s="228"/>
      <c r="C138" s="229"/>
      <c r="D138" s="230"/>
      <c r="E138" s="230"/>
      <c r="F138" s="230"/>
      <c r="G138" s="230"/>
      <c r="H138" s="230"/>
      <c r="I138" s="230"/>
      <c r="J138" s="230"/>
      <c r="K138" s="230"/>
      <c r="L138" s="230"/>
    </row>
    <row r="139" spans="1:15" ht="15.75" x14ac:dyDescent="0.25">
      <c r="A139" s="232"/>
      <c r="B139" s="228"/>
      <c r="C139" s="229"/>
      <c r="D139" s="230"/>
      <c r="E139" s="230"/>
      <c r="F139" s="230"/>
      <c r="G139" s="230"/>
      <c r="H139" s="230"/>
      <c r="I139" s="230"/>
      <c r="J139" s="230"/>
      <c r="K139" s="230"/>
      <c r="L139" s="230"/>
    </row>
    <row r="140" spans="1:15" ht="15.75" x14ac:dyDescent="0.25">
      <c r="A140" s="232"/>
      <c r="B140" s="228"/>
      <c r="C140" s="229"/>
      <c r="D140" s="230"/>
      <c r="E140" s="230"/>
      <c r="F140" s="230"/>
      <c r="G140" s="230"/>
      <c r="H140" s="233"/>
      <c r="I140" s="233"/>
      <c r="J140" s="233"/>
      <c r="K140" s="233"/>
      <c r="L140" s="233"/>
    </row>
    <row r="141" spans="1:15" ht="15.75" x14ac:dyDescent="0.25">
      <c r="A141" s="232"/>
      <c r="B141" s="231"/>
      <c r="C141" s="231"/>
      <c r="D141" s="231"/>
      <c r="E141" s="234"/>
      <c r="F141" s="234"/>
      <c r="G141" s="234"/>
      <c r="H141" s="234"/>
      <c r="I141" s="234"/>
      <c r="J141" s="234"/>
      <c r="K141" s="234"/>
      <c r="L141" s="234"/>
    </row>
    <row r="142" spans="1:15" ht="15.75" x14ac:dyDescent="0.25">
      <c r="A142" s="185"/>
      <c r="B142" s="187" t="s">
        <v>119</v>
      </c>
      <c r="C142" s="186"/>
      <c r="D142" s="186"/>
      <c r="E142" s="184"/>
      <c r="F142" s="184"/>
      <c r="G142" s="184"/>
      <c r="H142" s="184"/>
      <c r="I142" s="184"/>
      <c r="J142" s="184"/>
      <c r="K142" s="184"/>
      <c r="L142" s="184"/>
    </row>
    <row r="143" spans="1:15" ht="15.75" x14ac:dyDescent="0.25">
      <c r="A143" s="72"/>
      <c r="B143" s="73" t="s">
        <v>259</v>
      </c>
      <c r="C143" s="71"/>
      <c r="D143" s="71"/>
      <c r="E143" s="24"/>
      <c r="F143" s="24"/>
      <c r="G143" s="24"/>
      <c r="H143" s="24"/>
      <c r="I143" s="24"/>
      <c r="J143" s="24"/>
      <c r="K143" s="24"/>
      <c r="L143" s="24"/>
    </row>
    <row r="144" spans="1:15" ht="15.75" x14ac:dyDescent="0.25">
      <c r="A144" s="72"/>
      <c r="B144" s="71"/>
      <c r="C144" s="71"/>
      <c r="D144" s="71"/>
      <c r="E144" s="24"/>
      <c r="F144" s="24"/>
      <c r="G144" s="24"/>
      <c r="H144" s="24"/>
      <c r="I144" s="24"/>
      <c r="J144" s="24"/>
      <c r="K144" s="24"/>
      <c r="L144" s="24"/>
    </row>
    <row r="145" spans="1:14" ht="15.75" x14ac:dyDescent="0.25">
      <c r="A145" s="72"/>
      <c r="B145" s="192" t="s">
        <v>120</v>
      </c>
      <c r="C145" s="193"/>
      <c r="D145" s="193"/>
      <c r="E145" s="193"/>
      <c r="F145" s="193"/>
      <c r="G145" s="193"/>
      <c r="H145" s="193"/>
      <c r="I145" s="193"/>
      <c r="J145" s="193"/>
      <c r="K145" s="193"/>
      <c r="L145" s="211"/>
    </row>
    <row r="146" spans="1:14" ht="15.75" x14ac:dyDescent="0.25">
      <c r="A146" s="152"/>
      <c r="B146" s="216" t="s">
        <v>4</v>
      </c>
      <c r="C146" s="209" t="s">
        <v>5</v>
      </c>
      <c r="D146" s="208" t="s">
        <v>6</v>
      </c>
      <c r="E146" s="208"/>
      <c r="F146" s="208"/>
      <c r="G146" s="209" t="s">
        <v>7</v>
      </c>
      <c r="H146" s="208" t="s">
        <v>197</v>
      </c>
      <c r="I146" s="208"/>
      <c r="J146" s="208"/>
      <c r="K146" s="208" t="s">
        <v>192</v>
      </c>
      <c r="L146" s="208"/>
    </row>
    <row r="147" spans="1:14" ht="15.75" x14ac:dyDescent="0.25">
      <c r="A147" s="203" t="s">
        <v>3</v>
      </c>
      <c r="B147" s="217"/>
      <c r="C147" s="210"/>
      <c r="D147" s="52" t="s">
        <v>10</v>
      </c>
      <c r="E147" s="52" t="s">
        <v>11</v>
      </c>
      <c r="F147" s="52" t="s">
        <v>12</v>
      </c>
      <c r="G147" s="210"/>
      <c r="H147" s="5" t="s">
        <v>13</v>
      </c>
      <c r="I147" s="5" t="s">
        <v>14</v>
      </c>
      <c r="J147" s="5" t="s">
        <v>191</v>
      </c>
      <c r="K147" s="5" t="s">
        <v>17</v>
      </c>
      <c r="L147" s="5" t="s">
        <v>20</v>
      </c>
    </row>
    <row r="148" spans="1:14" ht="15.75" x14ac:dyDescent="0.25">
      <c r="A148" s="204"/>
      <c r="B148" s="7">
        <v>2</v>
      </c>
      <c r="C148" s="8">
        <v>3</v>
      </c>
      <c r="D148" s="8">
        <v>4</v>
      </c>
      <c r="E148" s="8">
        <v>5</v>
      </c>
      <c r="F148" s="8">
        <v>6</v>
      </c>
      <c r="G148" s="9">
        <v>7</v>
      </c>
      <c r="H148" s="8">
        <v>8</v>
      </c>
      <c r="I148" s="8">
        <v>9</v>
      </c>
      <c r="J148" s="8">
        <v>10</v>
      </c>
      <c r="K148" s="8">
        <v>12</v>
      </c>
      <c r="L148" s="8">
        <v>15</v>
      </c>
    </row>
    <row r="149" spans="1:14" ht="15.75" x14ac:dyDescent="0.25">
      <c r="A149" s="6">
        <v>1</v>
      </c>
      <c r="B149" s="11" t="s">
        <v>21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4" ht="15.75" x14ac:dyDescent="0.25">
      <c r="A150" s="6" t="s">
        <v>261</v>
      </c>
      <c r="B150" s="13" t="s">
        <v>260</v>
      </c>
      <c r="C150" s="155">
        <v>200</v>
      </c>
      <c r="D150" s="86">
        <v>6.75</v>
      </c>
      <c r="E150" s="86">
        <v>10.34</v>
      </c>
      <c r="F150" s="86">
        <v>23.6</v>
      </c>
      <c r="G150" s="86">
        <v>213.5</v>
      </c>
      <c r="H150" s="86">
        <v>1.6E-2</v>
      </c>
      <c r="I150" s="86">
        <v>1.95</v>
      </c>
      <c r="J150" s="86">
        <v>0.24</v>
      </c>
      <c r="K150" s="86">
        <v>192.71</v>
      </c>
      <c r="L150" s="86">
        <v>0.93</v>
      </c>
    </row>
    <row r="151" spans="1:14" ht="15.75" x14ac:dyDescent="0.25">
      <c r="A151" s="29" t="s">
        <v>262</v>
      </c>
      <c r="B151" s="13" t="s">
        <v>74</v>
      </c>
      <c r="C151" s="55">
        <v>180</v>
      </c>
      <c r="D151" s="56">
        <v>3.67</v>
      </c>
      <c r="E151" s="56">
        <v>3.19</v>
      </c>
      <c r="F151" s="56">
        <v>15.82</v>
      </c>
      <c r="G151" s="56">
        <v>107</v>
      </c>
      <c r="H151" s="15">
        <v>0.05</v>
      </c>
      <c r="I151" s="15">
        <v>1.43</v>
      </c>
      <c r="J151" s="15">
        <v>0.17</v>
      </c>
      <c r="K151" s="15">
        <v>118</v>
      </c>
      <c r="L151" s="15">
        <v>0.43</v>
      </c>
    </row>
    <row r="152" spans="1:14" ht="15.75" x14ac:dyDescent="0.25">
      <c r="A152" s="12"/>
      <c r="B152" s="13" t="s">
        <v>27</v>
      </c>
      <c r="C152" s="86">
        <v>5.6</v>
      </c>
      <c r="D152" s="86">
        <f>C152*0.1/10</f>
        <v>5.5999999999999994E-2</v>
      </c>
      <c r="E152" s="86">
        <f>C152*7.2/10</f>
        <v>4.032</v>
      </c>
      <c r="F152" s="86">
        <f>C152*0.1/10</f>
        <v>5.5999999999999994E-2</v>
      </c>
      <c r="G152" s="86">
        <f>C152*66/10</f>
        <v>36.959999999999994</v>
      </c>
      <c r="H152" s="156">
        <v>0</v>
      </c>
      <c r="I152" s="156">
        <f>C152*0.28/10</f>
        <v>0.15679999999999999</v>
      </c>
      <c r="J152" s="156">
        <v>0</v>
      </c>
      <c r="K152" s="156">
        <f>C152*2.2/10</f>
        <v>1.232</v>
      </c>
      <c r="L152" s="156">
        <f>C152*0.02/10</f>
        <v>1.1199999999999998E-2</v>
      </c>
      <c r="N152" s="137"/>
    </row>
    <row r="153" spans="1:14" ht="15.75" x14ac:dyDescent="0.25">
      <c r="A153" s="12"/>
      <c r="B153" s="13" t="s">
        <v>30</v>
      </c>
      <c r="C153" s="16">
        <v>32</v>
      </c>
      <c r="D153" s="15">
        <v>2.5299999999999998</v>
      </c>
      <c r="E153" s="19">
        <v>0.32</v>
      </c>
      <c r="F153" s="19">
        <f>C153*48.3/100</f>
        <v>15.456</v>
      </c>
      <c r="G153" s="19">
        <f>C153*235/100</f>
        <v>75.2</v>
      </c>
      <c r="H153" s="21">
        <v>0.05</v>
      </c>
      <c r="I153" s="21">
        <v>0</v>
      </c>
      <c r="J153" s="21">
        <v>0.02</v>
      </c>
      <c r="K153" s="21">
        <v>7.36</v>
      </c>
      <c r="L153" s="21">
        <v>0.64</v>
      </c>
    </row>
    <row r="154" spans="1:14" ht="15.75" x14ac:dyDescent="0.25">
      <c r="A154" s="12"/>
      <c r="B154" s="13" t="s">
        <v>214</v>
      </c>
      <c r="C154" s="16">
        <v>80</v>
      </c>
      <c r="D154" s="19">
        <f>C154*1.5/100</f>
        <v>1.2</v>
      </c>
      <c r="E154" s="19">
        <f>C154*0.5/100</f>
        <v>0.4</v>
      </c>
      <c r="F154" s="19">
        <f>C154*21/100</f>
        <v>16.8</v>
      </c>
      <c r="G154" s="19">
        <f>C154*89.3/100</f>
        <v>71.44</v>
      </c>
      <c r="H154" s="20">
        <v>0.1</v>
      </c>
      <c r="I154" s="20">
        <f>C154*5/100</f>
        <v>4</v>
      </c>
      <c r="J154" s="20">
        <f>C154*0.1/100</f>
        <v>0.08</v>
      </c>
      <c r="K154" s="20">
        <v>17.12</v>
      </c>
      <c r="L154" s="20">
        <f>D154*0.6/100</f>
        <v>7.1999999999999998E-3</v>
      </c>
    </row>
    <row r="155" spans="1:14" ht="15.75" x14ac:dyDescent="0.25">
      <c r="A155" s="29"/>
      <c r="B155" s="78" t="s">
        <v>269</v>
      </c>
      <c r="C155" s="79">
        <f t="shared" ref="C155:L155" si="16">SUM(C150:C154)</f>
        <v>497.6</v>
      </c>
      <c r="D155" s="80">
        <f t="shared" si="16"/>
        <v>14.205999999999998</v>
      </c>
      <c r="E155" s="80">
        <f t="shared" si="16"/>
        <v>18.281999999999996</v>
      </c>
      <c r="F155" s="80">
        <f t="shared" si="16"/>
        <v>71.731999999999999</v>
      </c>
      <c r="G155" s="80">
        <f t="shared" si="16"/>
        <v>504.09999999999997</v>
      </c>
      <c r="H155" s="80">
        <f t="shared" si="16"/>
        <v>0.21600000000000003</v>
      </c>
      <c r="I155" s="80">
        <f t="shared" si="16"/>
        <v>7.5367999999999995</v>
      </c>
      <c r="J155" s="80">
        <f t="shared" si="16"/>
        <v>0.51</v>
      </c>
      <c r="K155" s="80">
        <f t="shared" si="16"/>
        <v>336.42200000000008</v>
      </c>
      <c r="L155" s="80">
        <f t="shared" si="16"/>
        <v>2.0184000000000002</v>
      </c>
    </row>
    <row r="156" spans="1:14" ht="15.75" x14ac:dyDescent="0.25">
      <c r="A156" s="41"/>
      <c r="B156" s="54" t="s">
        <v>35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</row>
    <row r="157" spans="1:14" ht="15.75" x14ac:dyDescent="0.25">
      <c r="A157" s="40" t="s">
        <v>264</v>
      </c>
      <c r="B157" s="13" t="s">
        <v>263</v>
      </c>
      <c r="C157" s="155">
        <v>200</v>
      </c>
      <c r="D157" s="147">
        <v>1.94</v>
      </c>
      <c r="E157" s="147">
        <v>5.08</v>
      </c>
      <c r="F157" s="147">
        <v>13.17</v>
      </c>
      <c r="G157" s="147">
        <v>101.8</v>
      </c>
      <c r="H157" s="147">
        <v>0.09</v>
      </c>
      <c r="I157" s="147">
        <v>12.97</v>
      </c>
      <c r="J157" s="147">
        <v>0.23</v>
      </c>
      <c r="K157" s="147">
        <v>51</v>
      </c>
      <c r="L157" s="147">
        <v>1.02</v>
      </c>
    </row>
    <row r="158" spans="1:14" ht="15.75" x14ac:dyDescent="0.25">
      <c r="A158" s="40" t="s">
        <v>124</v>
      </c>
      <c r="B158" s="13" t="s">
        <v>265</v>
      </c>
      <c r="C158" s="155">
        <v>80</v>
      </c>
      <c r="D158" s="147">
        <v>9.64</v>
      </c>
      <c r="E158" s="147">
        <v>6</v>
      </c>
      <c r="F158" s="147">
        <v>7.1</v>
      </c>
      <c r="G158" s="147">
        <v>116</v>
      </c>
      <c r="H158" s="147">
        <v>0.05</v>
      </c>
      <c r="I158" s="147">
        <v>0.14000000000000001</v>
      </c>
      <c r="J158" s="147">
        <v>0.12</v>
      </c>
      <c r="K158" s="147">
        <v>28.4</v>
      </c>
      <c r="L158" s="147">
        <v>0.82</v>
      </c>
    </row>
    <row r="159" spans="1:14" ht="15.75" x14ac:dyDescent="0.25">
      <c r="A159" s="29" t="s">
        <v>272</v>
      </c>
      <c r="B159" s="13" t="s">
        <v>266</v>
      </c>
      <c r="C159" s="86">
        <v>150</v>
      </c>
      <c r="D159" s="147">
        <v>5.68</v>
      </c>
      <c r="E159" s="157">
        <v>4.3600000000000003</v>
      </c>
      <c r="F159" s="157">
        <v>27.25</v>
      </c>
      <c r="G159" s="157">
        <v>151.09</v>
      </c>
      <c r="H159" s="159">
        <v>0.06</v>
      </c>
      <c r="I159" s="159">
        <v>0</v>
      </c>
      <c r="J159" s="159">
        <v>0.03</v>
      </c>
      <c r="K159" s="159">
        <v>5</v>
      </c>
      <c r="L159" s="159">
        <v>1.1399999999999999</v>
      </c>
    </row>
    <row r="160" spans="1:14" ht="15.75" x14ac:dyDescent="0.25">
      <c r="A160" s="29" t="s">
        <v>127</v>
      </c>
      <c r="B160" s="13" t="s">
        <v>267</v>
      </c>
      <c r="C160" s="16">
        <v>60</v>
      </c>
      <c r="D160" s="19">
        <v>1</v>
      </c>
      <c r="E160" s="19">
        <v>4.05</v>
      </c>
      <c r="F160" s="19">
        <v>5.83</v>
      </c>
      <c r="G160" s="19">
        <v>62.87</v>
      </c>
      <c r="H160" s="20">
        <v>1.2999999999999999E-2</v>
      </c>
      <c r="I160" s="20">
        <v>22.8</v>
      </c>
      <c r="J160" s="20">
        <v>0.09</v>
      </c>
      <c r="K160" s="20">
        <v>27.12</v>
      </c>
      <c r="L160" s="20">
        <v>0.35</v>
      </c>
    </row>
    <row r="161" spans="1:12" ht="15.75" x14ac:dyDescent="0.25">
      <c r="A161" s="12" t="s">
        <v>273</v>
      </c>
      <c r="B161" s="13" t="s">
        <v>268</v>
      </c>
      <c r="C161" s="86">
        <v>180</v>
      </c>
      <c r="D161" s="147">
        <v>0.39</v>
      </c>
      <c r="E161" s="147">
        <v>1.7999999999999999E-2</v>
      </c>
      <c r="F161" s="147">
        <v>24.9</v>
      </c>
      <c r="G161" s="147">
        <v>101.7</v>
      </c>
      <c r="H161" s="147">
        <v>1E-3</v>
      </c>
      <c r="I161" s="147">
        <v>0.36</v>
      </c>
      <c r="J161" s="147">
        <v>5.0000000000000001E-3</v>
      </c>
      <c r="K161" s="147">
        <v>28.6</v>
      </c>
      <c r="L161" s="147">
        <v>1.1200000000000001</v>
      </c>
    </row>
    <row r="162" spans="1:12" ht="15.75" x14ac:dyDescent="0.25">
      <c r="A162" s="40"/>
      <c r="B162" s="13" t="s">
        <v>46</v>
      </c>
      <c r="C162" s="16">
        <v>40</v>
      </c>
      <c r="D162" s="15">
        <v>3.4</v>
      </c>
      <c r="E162" s="19">
        <v>1.32</v>
      </c>
      <c r="F162" s="19">
        <v>17</v>
      </c>
      <c r="G162" s="19">
        <v>103.6</v>
      </c>
      <c r="H162" s="21">
        <v>0.17</v>
      </c>
      <c r="I162" s="21">
        <v>0.16</v>
      </c>
      <c r="J162" s="21">
        <v>0.13</v>
      </c>
      <c r="K162" s="21">
        <v>13.2</v>
      </c>
      <c r="L162" s="21">
        <v>0.05</v>
      </c>
    </row>
    <row r="163" spans="1:12" ht="15.75" x14ac:dyDescent="0.25">
      <c r="A163" s="40"/>
      <c r="B163" s="78" t="s">
        <v>271</v>
      </c>
      <c r="C163" s="79">
        <f>SUM(C157:C162)</f>
        <v>710</v>
      </c>
      <c r="D163" s="80">
        <f>SUM(D157:D162)</f>
        <v>22.049999999999997</v>
      </c>
      <c r="E163" s="80">
        <f>SUM(E157:E162)</f>
        <v>20.828000000000003</v>
      </c>
      <c r="F163" s="80">
        <f>SUM(F157:F162)</f>
        <v>95.25</v>
      </c>
      <c r="G163" s="80">
        <f t="shared" ref="G163:K163" si="17">SUM(G157:G162)</f>
        <v>637.06000000000006</v>
      </c>
      <c r="H163" s="80">
        <f>SUM(H157:H162)</f>
        <v>0.38400000000000001</v>
      </c>
      <c r="I163" s="80">
        <f t="shared" si="17"/>
        <v>36.43</v>
      </c>
      <c r="J163" s="80">
        <f t="shared" si="17"/>
        <v>0.60499999999999998</v>
      </c>
      <c r="K163" s="80">
        <f t="shared" si="17"/>
        <v>153.32</v>
      </c>
      <c r="L163" s="79">
        <f>SUM(L157:L162)</f>
        <v>4.4999999999999991</v>
      </c>
    </row>
    <row r="164" spans="1:12" ht="15.75" x14ac:dyDescent="0.25">
      <c r="A164" s="40"/>
      <c r="B164" s="54" t="s">
        <v>178</v>
      </c>
      <c r="C164" s="86"/>
      <c r="D164" s="147"/>
      <c r="E164" s="147"/>
      <c r="F164" s="147"/>
      <c r="G164" s="147"/>
      <c r="H164" s="147"/>
      <c r="I164" s="147"/>
      <c r="J164" s="147"/>
      <c r="K164" s="147"/>
      <c r="L164" s="86"/>
    </row>
    <row r="165" spans="1:12" ht="15.75" x14ac:dyDescent="0.25">
      <c r="A165" s="40" t="s">
        <v>226</v>
      </c>
      <c r="B165" s="13" t="s">
        <v>150</v>
      </c>
      <c r="C165" s="86">
        <v>100</v>
      </c>
      <c r="D165" s="147">
        <v>9.2799999999999994</v>
      </c>
      <c r="E165" s="147">
        <v>18.03</v>
      </c>
      <c r="F165" s="147">
        <v>1.86</v>
      </c>
      <c r="G165" s="147">
        <v>173</v>
      </c>
      <c r="H165" s="147">
        <v>0.06</v>
      </c>
      <c r="I165" s="147">
        <v>0.18</v>
      </c>
      <c r="J165" s="147">
        <v>0.38</v>
      </c>
      <c r="K165" s="147">
        <v>77.5</v>
      </c>
      <c r="L165" s="86">
        <v>1.9</v>
      </c>
    </row>
    <row r="166" spans="1:12" ht="15.75" x14ac:dyDescent="0.25">
      <c r="A166" s="40" t="s">
        <v>274</v>
      </c>
      <c r="B166" s="17" t="s">
        <v>212</v>
      </c>
      <c r="C166" s="86">
        <v>200</v>
      </c>
      <c r="D166" s="147">
        <v>9.6000000000000002E-2</v>
      </c>
      <c r="E166" s="147">
        <v>7.1999999999999995E-2</v>
      </c>
      <c r="F166" s="147">
        <v>21</v>
      </c>
      <c r="G166" s="147">
        <v>84.7</v>
      </c>
      <c r="H166" s="147">
        <v>0</v>
      </c>
      <c r="I166" s="147">
        <v>0.84</v>
      </c>
      <c r="J166" s="147">
        <v>0</v>
      </c>
      <c r="K166" s="147">
        <v>9.1</v>
      </c>
      <c r="L166" s="147">
        <v>0.2</v>
      </c>
    </row>
    <row r="167" spans="1:12" ht="15.75" x14ac:dyDescent="0.25">
      <c r="A167" s="40"/>
      <c r="B167" s="13" t="s">
        <v>30</v>
      </c>
      <c r="C167" s="16">
        <v>32</v>
      </c>
      <c r="D167" s="15">
        <v>2.5299999999999998</v>
      </c>
      <c r="E167" s="19">
        <v>0.32</v>
      </c>
      <c r="F167" s="19">
        <f>C167*48.3/100</f>
        <v>15.456</v>
      </c>
      <c r="G167" s="19">
        <f>C167*235/100</f>
        <v>75.2</v>
      </c>
      <c r="H167" s="21">
        <v>0.05</v>
      </c>
      <c r="I167" s="21">
        <v>0</v>
      </c>
      <c r="J167" s="21">
        <v>0.02</v>
      </c>
      <c r="K167" s="21">
        <v>7.36</v>
      </c>
      <c r="L167" s="21">
        <v>0.64</v>
      </c>
    </row>
    <row r="168" spans="1:12" ht="15.75" x14ac:dyDescent="0.25">
      <c r="A168" s="40"/>
      <c r="B168" s="78" t="s">
        <v>270</v>
      </c>
      <c r="C168" s="79">
        <f t="shared" ref="C168:L168" si="18">SUM(C165:C167)</f>
        <v>332</v>
      </c>
      <c r="D168" s="80">
        <f t="shared" si="18"/>
        <v>11.905999999999999</v>
      </c>
      <c r="E168" s="80">
        <f t="shared" si="18"/>
        <v>18.422000000000001</v>
      </c>
      <c r="F168" s="80">
        <f t="shared" si="18"/>
        <v>38.316000000000003</v>
      </c>
      <c r="G168" s="80">
        <f t="shared" si="18"/>
        <v>332.9</v>
      </c>
      <c r="H168" s="80">
        <f t="shared" si="18"/>
        <v>0.11</v>
      </c>
      <c r="I168" s="80">
        <f t="shared" si="18"/>
        <v>1.02</v>
      </c>
      <c r="J168" s="80">
        <f t="shared" si="18"/>
        <v>0.4</v>
      </c>
      <c r="K168" s="80">
        <f t="shared" si="18"/>
        <v>93.96</v>
      </c>
      <c r="L168" s="79">
        <f t="shared" si="18"/>
        <v>2.74</v>
      </c>
    </row>
    <row r="169" spans="1:12" ht="15.75" x14ac:dyDescent="0.25">
      <c r="A169" s="41"/>
      <c r="B169" s="63" t="s">
        <v>196</v>
      </c>
      <c r="C169" s="84">
        <f t="shared" ref="C169:L169" si="19">C155+C163+C168</f>
        <v>1539.6</v>
      </c>
      <c r="D169" s="25">
        <f t="shared" si="19"/>
        <v>48.161999999999992</v>
      </c>
      <c r="E169" s="25">
        <f t="shared" si="19"/>
        <v>57.531999999999996</v>
      </c>
      <c r="F169" s="25">
        <f t="shared" si="19"/>
        <v>205.298</v>
      </c>
      <c r="G169" s="25">
        <f t="shared" si="19"/>
        <v>1474.06</v>
      </c>
      <c r="H169" s="25">
        <f t="shared" si="19"/>
        <v>0.71000000000000008</v>
      </c>
      <c r="I169" s="25">
        <f t="shared" si="19"/>
        <v>44.986800000000002</v>
      </c>
      <c r="J169" s="25">
        <f t="shared" si="19"/>
        <v>1.5150000000000001</v>
      </c>
      <c r="K169" s="25">
        <f t="shared" si="19"/>
        <v>583.70200000000011</v>
      </c>
      <c r="L169" s="25">
        <f t="shared" si="19"/>
        <v>9.2584</v>
      </c>
    </row>
    <row r="170" spans="1:12" ht="15.75" x14ac:dyDescent="0.25">
      <c r="A170" s="10"/>
      <c r="B170" s="220"/>
      <c r="C170" s="221"/>
      <c r="D170" s="85"/>
      <c r="E170" s="42"/>
      <c r="F170" s="42"/>
      <c r="G170" s="42"/>
      <c r="H170" s="85"/>
      <c r="I170" s="42"/>
      <c r="J170" s="42"/>
      <c r="K170" s="42"/>
      <c r="L170" s="85"/>
    </row>
    <row r="171" spans="1:12" ht="15.75" x14ac:dyDescent="0.25">
      <c r="A171" s="10"/>
      <c r="B171" s="211" t="s">
        <v>129</v>
      </c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</row>
    <row r="172" spans="1:12" ht="15.75" x14ac:dyDescent="0.25">
      <c r="A172" s="10"/>
      <c r="B172" s="205" t="s">
        <v>4</v>
      </c>
      <c r="C172" s="209" t="s">
        <v>5</v>
      </c>
      <c r="D172" s="208" t="s">
        <v>6</v>
      </c>
      <c r="E172" s="208"/>
      <c r="F172" s="208"/>
      <c r="G172" s="209" t="s">
        <v>7</v>
      </c>
      <c r="H172" s="208" t="s">
        <v>197</v>
      </c>
      <c r="I172" s="208"/>
      <c r="J172" s="208"/>
      <c r="K172" s="208" t="s">
        <v>192</v>
      </c>
      <c r="L172" s="208"/>
    </row>
    <row r="173" spans="1:12" ht="15.75" x14ac:dyDescent="0.25">
      <c r="A173" s="203" t="s">
        <v>3</v>
      </c>
      <c r="B173" s="205"/>
      <c r="C173" s="210"/>
      <c r="D173" s="52" t="s">
        <v>10</v>
      </c>
      <c r="E173" s="52" t="s">
        <v>11</v>
      </c>
      <c r="F173" s="52" t="s">
        <v>12</v>
      </c>
      <c r="G173" s="210"/>
      <c r="H173" s="52" t="s">
        <v>13</v>
      </c>
      <c r="I173" s="52" t="s">
        <v>14</v>
      </c>
      <c r="J173" s="52" t="s">
        <v>191</v>
      </c>
      <c r="K173" s="52" t="s">
        <v>17</v>
      </c>
      <c r="L173" s="52" t="s">
        <v>20</v>
      </c>
    </row>
    <row r="174" spans="1:12" ht="15.75" x14ac:dyDescent="0.25">
      <c r="A174" s="204"/>
      <c r="B174" s="7">
        <v>2</v>
      </c>
      <c r="C174" s="8">
        <v>3</v>
      </c>
      <c r="D174" s="8">
        <v>4</v>
      </c>
      <c r="E174" s="8">
        <v>5</v>
      </c>
      <c r="F174" s="8">
        <v>6</v>
      </c>
      <c r="G174" s="9">
        <v>7</v>
      </c>
      <c r="H174" s="8">
        <v>8</v>
      </c>
      <c r="I174" s="8">
        <v>9</v>
      </c>
      <c r="J174" s="8">
        <v>10</v>
      </c>
      <c r="K174" s="8">
        <v>12</v>
      </c>
      <c r="L174" s="8">
        <v>15</v>
      </c>
    </row>
    <row r="175" spans="1:12" ht="15.75" x14ac:dyDescent="0.25">
      <c r="A175" s="6">
        <v>1</v>
      </c>
      <c r="B175" s="54" t="s">
        <v>21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ht="15.75" x14ac:dyDescent="0.25">
      <c r="A176" s="40" t="s">
        <v>261</v>
      </c>
      <c r="B176" s="17" t="s">
        <v>275</v>
      </c>
      <c r="C176" s="16">
        <v>200</v>
      </c>
      <c r="D176" s="19">
        <v>6.56</v>
      </c>
      <c r="E176" s="19">
        <v>9.73</v>
      </c>
      <c r="F176" s="19">
        <v>35.67</v>
      </c>
      <c r="G176" s="19">
        <v>215.77</v>
      </c>
      <c r="H176" s="20">
        <v>0.09</v>
      </c>
      <c r="I176" s="20">
        <v>1.95</v>
      </c>
      <c r="J176" s="20">
        <v>0.25</v>
      </c>
      <c r="K176" s="20">
        <v>187.63</v>
      </c>
      <c r="L176" s="20">
        <v>0.92</v>
      </c>
    </row>
    <row r="177" spans="1:12" ht="15.75" x14ac:dyDescent="0.25">
      <c r="A177" s="29"/>
      <c r="B177" s="17" t="s">
        <v>27</v>
      </c>
      <c r="C177" s="16">
        <v>4.2</v>
      </c>
      <c r="D177" s="16">
        <f>C177*0.1/10</f>
        <v>4.2000000000000003E-2</v>
      </c>
      <c r="E177" s="16">
        <f>C177*7.2/10</f>
        <v>3.024</v>
      </c>
      <c r="F177" s="16">
        <f>C177*0.1/10</f>
        <v>4.2000000000000003E-2</v>
      </c>
      <c r="G177" s="16">
        <f>C177*66/10</f>
        <v>27.72</v>
      </c>
      <c r="H177" s="76">
        <v>0</v>
      </c>
      <c r="I177" s="76">
        <f>C177*0.28/10</f>
        <v>0.11760000000000001</v>
      </c>
      <c r="J177" s="76">
        <v>0</v>
      </c>
      <c r="K177" s="76">
        <f>C177*2.2/10</f>
        <v>0.92400000000000015</v>
      </c>
      <c r="L177" s="76">
        <f>C177*0.02/10</f>
        <v>8.4000000000000012E-3</v>
      </c>
    </row>
    <row r="178" spans="1:12" ht="15.75" x14ac:dyDescent="0.25">
      <c r="A178" s="12"/>
      <c r="B178" s="17" t="s">
        <v>30</v>
      </c>
      <c r="C178" s="16">
        <v>32</v>
      </c>
      <c r="D178" s="15">
        <v>2.5299999999999998</v>
      </c>
      <c r="E178" s="19">
        <v>0.32</v>
      </c>
      <c r="F178" s="19">
        <f>C178*48.3/100</f>
        <v>15.456</v>
      </c>
      <c r="G178" s="19">
        <f>C178*235/100</f>
        <v>75.2</v>
      </c>
      <c r="H178" s="21">
        <v>0.05</v>
      </c>
      <c r="I178" s="21">
        <v>0</v>
      </c>
      <c r="J178" s="21">
        <v>0.02</v>
      </c>
      <c r="K178" s="21">
        <v>7.36</v>
      </c>
      <c r="L178" s="21">
        <v>0.64</v>
      </c>
    </row>
    <row r="179" spans="1:12" ht="15.75" x14ac:dyDescent="0.25">
      <c r="A179" s="12" t="s">
        <v>202</v>
      </c>
      <c r="B179" s="17" t="s">
        <v>199</v>
      </c>
      <c r="C179" s="165">
        <v>180</v>
      </c>
      <c r="D179" s="166">
        <v>2.67</v>
      </c>
      <c r="E179" s="166">
        <v>2.34</v>
      </c>
      <c r="F179" s="166">
        <v>14.31</v>
      </c>
      <c r="G179" s="166">
        <v>89</v>
      </c>
      <c r="H179" s="167">
        <v>0.04</v>
      </c>
      <c r="I179" s="167">
        <v>0.2</v>
      </c>
      <c r="J179" s="167">
        <v>0.14000000000000001</v>
      </c>
      <c r="K179" s="168">
        <v>113.9</v>
      </c>
      <c r="L179" s="168">
        <v>0.37</v>
      </c>
    </row>
    <row r="180" spans="1:12" ht="15.75" x14ac:dyDescent="0.25">
      <c r="A180" s="136"/>
      <c r="B180" s="17" t="s">
        <v>29</v>
      </c>
      <c r="C180" s="16">
        <v>10</v>
      </c>
      <c r="D180" s="15">
        <f>C180*6.96/30</f>
        <v>2.3199999999999998</v>
      </c>
      <c r="E180" s="19">
        <f>C180*8.85/30</f>
        <v>2.95</v>
      </c>
      <c r="F180" s="19">
        <v>0</v>
      </c>
      <c r="G180" s="19">
        <f>C180*109.2/30</f>
        <v>36.4</v>
      </c>
      <c r="H180" s="20">
        <f>C180*0.01/30</f>
        <v>3.3333333333333335E-3</v>
      </c>
      <c r="I180" s="20">
        <f>C180*0.48/30</f>
        <v>0.16</v>
      </c>
      <c r="J180" s="20">
        <f>C180*0.08/30</f>
        <v>2.6666666666666668E-2</v>
      </c>
      <c r="K180" s="20">
        <v>80</v>
      </c>
      <c r="L180" s="20">
        <f>D180*0.33/30</f>
        <v>2.5519999999999998E-2</v>
      </c>
    </row>
    <row r="181" spans="1:12" ht="15.75" x14ac:dyDescent="0.25">
      <c r="A181" s="39"/>
      <c r="B181" s="17" t="s">
        <v>214</v>
      </c>
      <c r="C181" s="16">
        <v>80</v>
      </c>
      <c r="D181" s="19">
        <f>C181*1.5/100</f>
        <v>1.2</v>
      </c>
      <c r="E181" s="19">
        <f>C181*0.5/100</f>
        <v>0.4</v>
      </c>
      <c r="F181" s="19">
        <f>C181*21/100</f>
        <v>16.8</v>
      </c>
      <c r="G181" s="19">
        <f>C181*89.3/100</f>
        <v>71.44</v>
      </c>
      <c r="H181" s="20">
        <v>0.1</v>
      </c>
      <c r="I181" s="20">
        <f>C181*5/100</f>
        <v>4</v>
      </c>
      <c r="J181" s="20">
        <f>C181*0.1/100</f>
        <v>0.08</v>
      </c>
      <c r="K181" s="20">
        <v>17.12</v>
      </c>
      <c r="L181" s="20">
        <f>D181*0.6/100</f>
        <v>7.1999999999999998E-3</v>
      </c>
    </row>
    <row r="182" spans="1:12" ht="15.75" x14ac:dyDescent="0.25">
      <c r="A182" s="29"/>
      <c r="B182" s="78" t="s">
        <v>269</v>
      </c>
      <c r="C182" s="79">
        <f>SUM(C176:C181)</f>
        <v>506.2</v>
      </c>
      <c r="D182" s="80">
        <f>SUM(D176:D181)</f>
        <v>15.321999999999999</v>
      </c>
      <c r="E182" s="80">
        <f>SUM(E176:E181)</f>
        <v>18.763999999999999</v>
      </c>
      <c r="F182" s="80">
        <f>SUM(F176:F181)</f>
        <v>82.278000000000006</v>
      </c>
      <c r="G182" s="80">
        <f>SUM(G176:G181)</f>
        <v>515.53</v>
      </c>
      <c r="H182" s="80">
        <f>SUM(H176:H181)</f>
        <v>0.28333333333333333</v>
      </c>
      <c r="I182" s="80">
        <f>SUM(I176:I181)</f>
        <v>6.4276</v>
      </c>
      <c r="J182" s="80">
        <f>SUM(J176:J181)</f>
        <v>0.51666666666666672</v>
      </c>
      <c r="K182" s="80">
        <f>SUM(K176:K181)</f>
        <v>406.93400000000003</v>
      </c>
      <c r="L182" s="80">
        <f>SUM(L176:L181)</f>
        <v>1.9711200000000002</v>
      </c>
    </row>
    <row r="183" spans="1:12" ht="15.75" x14ac:dyDescent="0.25">
      <c r="A183" s="41"/>
      <c r="B183" s="2" t="s">
        <v>35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ht="15.75" x14ac:dyDescent="0.25">
      <c r="A184" s="40" t="s">
        <v>276</v>
      </c>
      <c r="B184" s="17" t="s">
        <v>109</v>
      </c>
      <c r="C184" s="14">
        <v>200</v>
      </c>
      <c r="D184" s="15">
        <v>1.76</v>
      </c>
      <c r="E184" s="15">
        <v>5.73</v>
      </c>
      <c r="F184" s="15">
        <v>7.85</v>
      </c>
      <c r="G184" s="15">
        <v>91.04</v>
      </c>
      <c r="H184" s="15">
        <v>5.2999999999999999E-2</v>
      </c>
      <c r="I184" s="15">
        <v>25.02</v>
      </c>
      <c r="J184" s="15">
        <v>0.48</v>
      </c>
      <c r="K184" s="15">
        <v>37.619999999999997</v>
      </c>
      <c r="L184" s="15">
        <v>0.64</v>
      </c>
    </row>
    <row r="185" spans="1:12" ht="15.75" x14ac:dyDescent="0.25">
      <c r="A185" s="12" t="s">
        <v>278</v>
      </c>
      <c r="B185" s="17" t="s">
        <v>277</v>
      </c>
      <c r="C185" s="16">
        <v>150</v>
      </c>
      <c r="D185" s="19">
        <v>3.81</v>
      </c>
      <c r="E185" s="19">
        <v>6.16</v>
      </c>
      <c r="F185" s="19">
        <v>24.02</v>
      </c>
      <c r="G185" s="19">
        <v>156.80000000000001</v>
      </c>
      <c r="H185" s="20">
        <v>0.17</v>
      </c>
      <c r="I185" s="20">
        <v>20.99</v>
      </c>
      <c r="J185" s="20">
        <v>0.14000000000000001</v>
      </c>
      <c r="K185" s="20">
        <v>49.96</v>
      </c>
      <c r="L185" s="20">
        <v>1.33</v>
      </c>
    </row>
    <row r="186" spans="1:12" ht="15.75" x14ac:dyDescent="0.25">
      <c r="A186" s="12" t="s">
        <v>226</v>
      </c>
      <c r="B186" s="13" t="s">
        <v>279</v>
      </c>
      <c r="C186" s="86">
        <v>80</v>
      </c>
      <c r="D186" s="147">
        <v>12.08</v>
      </c>
      <c r="E186" s="147">
        <v>3.92</v>
      </c>
      <c r="F186" s="147">
        <v>8.2100000000000009</v>
      </c>
      <c r="G186" s="147">
        <v>116</v>
      </c>
      <c r="H186" s="147">
        <v>0.08</v>
      </c>
      <c r="I186" s="147">
        <v>2.62</v>
      </c>
      <c r="J186" s="147">
        <v>7.0000000000000007E-2</v>
      </c>
      <c r="K186" s="147">
        <v>38.9</v>
      </c>
      <c r="L186" s="147">
        <v>0.88</v>
      </c>
    </row>
    <row r="187" spans="1:12" ht="15.75" x14ac:dyDescent="0.25">
      <c r="A187" s="12"/>
      <c r="B187" s="13" t="s">
        <v>252</v>
      </c>
      <c r="C187" s="16">
        <v>60</v>
      </c>
      <c r="D187" s="57">
        <v>0.52</v>
      </c>
      <c r="E187" s="57">
        <v>0.12</v>
      </c>
      <c r="F187" s="57">
        <v>2.33</v>
      </c>
      <c r="G187" s="57">
        <v>9.8000000000000007</v>
      </c>
      <c r="H187" s="57">
        <v>0</v>
      </c>
      <c r="I187" s="57">
        <v>8.2200000000000006</v>
      </c>
      <c r="J187" s="57">
        <v>0</v>
      </c>
      <c r="K187" s="57">
        <v>6</v>
      </c>
      <c r="L187" s="57">
        <v>0.18</v>
      </c>
    </row>
    <row r="188" spans="1:12" ht="15.75" x14ac:dyDescent="0.25">
      <c r="A188" s="12" t="s">
        <v>281</v>
      </c>
      <c r="B188" s="13" t="s">
        <v>280</v>
      </c>
      <c r="C188" s="16">
        <v>180</v>
      </c>
      <c r="D188" s="15">
        <v>0.14000000000000001</v>
      </c>
      <c r="E188" s="15">
        <v>0.14000000000000001</v>
      </c>
      <c r="F188" s="15">
        <v>21.49</v>
      </c>
      <c r="G188" s="15">
        <v>87.4</v>
      </c>
      <c r="H188" s="15">
        <v>8.9999999999999993E-3</v>
      </c>
      <c r="I188" s="15">
        <v>1.54</v>
      </c>
      <c r="J188" s="15">
        <v>7.0000000000000001E-3</v>
      </c>
      <c r="K188" s="15">
        <v>13.03</v>
      </c>
      <c r="L188" s="15">
        <v>0.84</v>
      </c>
    </row>
    <row r="189" spans="1:12" ht="15.75" x14ac:dyDescent="0.25">
      <c r="A189" s="40"/>
      <c r="B189" s="13" t="s">
        <v>46</v>
      </c>
      <c r="C189" s="16">
        <v>40</v>
      </c>
      <c r="D189" s="15">
        <v>3.4</v>
      </c>
      <c r="E189" s="19">
        <v>1.32</v>
      </c>
      <c r="F189" s="19">
        <v>17</v>
      </c>
      <c r="G189" s="19">
        <v>103.6</v>
      </c>
      <c r="H189" s="21">
        <v>0.17</v>
      </c>
      <c r="I189" s="21">
        <v>0.16</v>
      </c>
      <c r="J189" s="21">
        <v>0.13</v>
      </c>
      <c r="K189" s="21">
        <v>13.2</v>
      </c>
      <c r="L189" s="21">
        <v>0.05</v>
      </c>
    </row>
    <row r="190" spans="1:12" ht="15.75" x14ac:dyDescent="0.25">
      <c r="A190" s="40"/>
      <c r="B190" s="78" t="s">
        <v>271</v>
      </c>
      <c r="C190" s="79">
        <f t="shared" ref="C190:L190" si="20">SUM(C184:C189)</f>
        <v>710</v>
      </c>
      <c r="D190" s="80">
        <f t="shared" si="20"/>
        <v>21.709999999999997</v>
      </c>
      <c r="E190" s="80">
        <f t="shared" si="20"/>
        <v>17.39</v>
      </c>
      <c r="F190" s="80">
        <f t="shared" si="20"/>
        <v>80.899999999999991</v>
      </c>
      <c r="G190" s="80">
        <f t="shared" si="20"/>
        <v>564.6400000000001</v>
      </c>
      <c r="H190" s="80">
        <f t="shared" si="20"/>
        <v>0.48199999999999998</v>
      </c>
      <c r="I190" s="80">
        <f t="shared" si="20"/>
        <v>58.54999999999999</v>
      </c>
      <c r="J190" s="80">
        <f t="shared" si="20"/>
        <v>0.82699999999999996</v>
      </c>
      <c r="K190" s="80">
        <f t="shared" si="20"/>
        <v>158.70999999999998</v>
      </c>
      <c r="L190" s="80">
        <f t="shared" si="20"/>
        <v>3.92</v>
      </c>
    </row>
    <row r="191" spans="1:12" ht="15.75" x14ac:dyDescent="0.25">
      <c r="A191" s="40"/>
      <c r="B191" s="54" t="s">
        <v>178</v>
      </c>
      <c r="C191" s="86"/>
      <c r="D191" s="147"/>
      <c r="E191" s="147"/>
      <c r="F191" s="147"/>
      <c r="G191" s="147"/>
      <c r="H191" s="147"/>
      <c r="I191" s="147"/>
      <c r="J191" s="147"/>
      <c r="K191" s="147"/>
      <c r="L191" s="147"/>
    </row>
    <row r="192" spans="1:12" ht="15.75" x14ac:dyDescent="0.25">
      <c r="A192" s="29" t="s">
        <v>272</v>
      </c>
      <c r="B192" s="13" t="s">
        <v>266</v>
      </c>
      <c r="C192" s="86">
        <v>150</v>
      </c>
      <c r="D192" s="147">
        <v>5.68</v>
      </c>
      <c r="E192" s="157">
        <v>4.3600000000000003</v>
      </c>
      <c r="F192" s="157">
        <v>27.25</v>
      </c>
      <c r="G192" s="157">
        <v>151.09</v>
      </c>
      <c r="H192" s="159">
        <v>0.06</v>
      </c>
      <c r="I192" s="159">
        <v>0</v>
      </c>
      <c r="J192" s="159">
        <v>0.03</v>
      </c>
      <c r="K192" s="159">
        <v>5</v>
      </c>
      <c r="L192" s="159">
        <v>1.1399999999999999</v>
      </c>
    </row>
    <row r="193" spans="1:12" ht="15.75" x14ac:dyDescent="0.25">
      <c r="A193" s="40" t="s">
        <v>282</v>
      </c>
      <c r="B193" s="13" t="s">
        <v>283</v>
      </c>
      <c r="C193" s="86">
        <v>50</v>
      </c>
      <c r="D193" s="147">
        <v>6.9</v>
      </c>
      <c r="E193" s="147">
        <v>12.98</v>
      </c>
      <c r="F193" s="147">
        <v>0.81</v>
      </c>
      <c r="G193" s="147">
        <v>119.02</v>
      </c>
      <c r="H193" s="147">
        <v>0.11</v>
      </c>
      <c r="I193" s="147">
        <v>0</v>
      </c>
      <c r="J193" s="147">
        <v>7.0000000000000007E-2</v>
      </c>
      <c r="K193" s="147">
        <v>14.24</v>
      </c>
      <c r="L193" s="147">
        <v>0.82</v>
      </c>
    </row>
    <row r="194" spans="1:12" ht="15.75" x14ac:dyDescent="0.25">
      <c r="A194" s="40" t="s">
        <v>220</v>
      </c>
      <c r="B194" s="13" t="s">
        <v>221</v>
      </c>
      <c r="C194" s="86">
        <v>180</v>
      </c>
      <c r="D194" s="147">
        <v>0.75</v>
      </c>
      <c r="E194" s="147">
        <v>0</v>
      </c>
      <c r="F194" s="147">
        <v>15.15</v>
      </c>
      <c r="G194" s="147">
        <v>64</v>
      </c>
      <c r="H194" s="147">
        <v>0.02</v>
      </c>
      <c r="I194" s="147">
        <v>3</v>
      </c>
      <c r="J194" s="147">
        <v>0.02</v>
      </c>
      <c r="K194" s="147">
        <v>10.5</v>
      </c>
      <c r="L194" s="147">
        <v>2.1</v>
      </c>
    </row>
    <row r="195" spans="1:12" ht="15.75" x14ac:dyDescent="0.25">
      <c r="A195" s="40"/>
      <c r="B195" s="13" t="s">
        <v>30</v>
      </c>
      <c r="C195" s="16">
        <v>32</v>
      </c>
      <c r="D195" s="15">
        <v>2.5299999999999998</v>
      </c>
      <c r="E195" s="19">
        <v>0.32</v>
      </c>
      <c r="F195" s="19">
        <f>C195*48.3/100</f>
        <v>15.456</v>
      </c>
      <c r="G195" s="19">
        <f>C195*235/100</f>
        <v>75.2</v>
      </c>
      <c r="H195" s="21">
        <v>0.05</v>
      </c>
      <c r="I195" s="21">
        <v>0</v>
      </c>
      <c r="J195" s="21">
        <v>0.02</v>
      </c>
      <c r="K195" s="21">
        <v>7.36</v>
      </c>
      <c r="L195" s="21">
        <v>0.64</v>
      </c>
    </row>
    <row r="196" spans="1:12" ht="15.75" x14ac:dyDescent="0.25">
      <c r="A196" s="40"/>
      <c r="B196" s="78" t="s">
        <v>270</v>
      </c>
      <c r="C196" s="79">
        <f t="shared" ref="C196:L196" si="21">SUM(C192:C195)</f>
        <v>412</v>
      </c>
      <c r="D196" s="80">
        <f t="shared" si="21"/>
        <v>15.86</v>
      </c>
      <c r="E196" s="160">
        <f t="shared" si="21"/>
        <v>17.66</v>
      </c>
      <c r="F196" s="160">
        <f t="shared" si="21"/>
        <v>58.665999999999997</v>
      </c>
      <c r="G196" s="160">
        <f t="shared" si="21"/>
        <v>409.31</v>
      </c>
      <c r="H196" s="161">
        <f t="shared" si="21"/>
        <v>0.24</v>
      </c>
      <c r="I196" s="161">
        <f t="shared" si="21"/>
        <v>3</v>
      </c>
      <c r="J196" s="161">
        <f t="shared" si="21"/>
        <v>0.14000000000000001</v>
      </c>
      <c r="K196" s="161">
        <f t="shared" si="21"/>
        <v>37.1</v>
      </c>
      <c r="L196" s="161">
        <f t="shared" si="21"/>
        <v>4.7</v>
      </c>
    </row>
    <row r="197" spans="1:12" ht="15.75" x14ac:dyDescent="0.25">
      <c r="A197" s="41"/>
      <c r="B197" s="63" t="s">
        <v>223</v>
      </c>
      <c r="C197" s="84"/>
      <c r="D197" s="25">
        <f t="shared" ref="D197:L197" si="22">D182+D190+D196</f>
        <v>52.891999999999996</v>
      </c>
      <c r="E197" s="25">
        <f t="shared" si="22"/>
        <v>53.813999999999993</v>
      </c>
      <c r="F197" s="25">
        <f t="shared" si="22"/>
        <v>221.84399999999999</v>
      </c>
      <c r="G197" s="25">
        <f t="shared" si="22"/>
        <v>1489.48</v>
      </c>
      <c r="H197" s="25">
        <f t="shared" si="22"/>
        <v>1.0053333333333332</v>
      </c>
      <c r="I197" s="25">
        <f t="shared" si="22"/>
        <v>67.977599999999995</v>
      </c>
      <c r="J197" s="25">
        <f t="shared" si="22"/>
        <v>1.4836666666666667</v>
      </c>
      <c r="K197" s="25">
        <f t="shared" si="22"/>
        <v>602.74400000000003</v>
      </c>
      <c r="L197" s="25">
        <f t="shared" si="22"/>
        <v>10.59112</v>
      </c>
    </row>
    <row r="198" spans="1:12" ht="15.75" x14ac:dyDescent="0.25">
      <c r="A198" s="43"/>
      <c r="B198" s="63"/>
      <c r="C198" s="16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ht="15.75" x14ac:dyDescent="0.25">
      <c r="A199" s="43"/>
      <c r="B199" s="211" t="s">
        <v>138</v>
      </c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</row>
    <row r="200" spans="1:12" ht="15.75" x14ac:dyDescent="0.25">
      <c r="A200" s="10"/>
      <c r="B200" s="205" t="s">
        <v>4</v>
      </c>
      <c r="C200" s="206" t="s">
        <v>5</v>
      </c>
      <c r="D200" s="208" t="s">
        <v>6</v>
      </c>
      <c r="E200" s="208"/>
      <c r="F200" s="208"/>
      <c r="G200" s="209" t="s">
        <v>7</v>
      </c>
      <c r="H200" s="208" t="s">
        <v>197</v>
      </c>
      <c r="I200" s="208"/>
      <c r="J200" s="208"/>
      <c r="K200" s="208" t="s">
        <v>192</v>
      </c>
      <c r="L200" s="208"/>
    </row>
    <row r="201" spans="1:12" ht="15.75" x14ac:dyDescent="0.25">
      <c r="A201" s="203" t="s">
        <v>3</v>
      </c>
      <c r="B201" s="205"/>
      <c r="C201" s="207"/>
      <c r="D201" s="52" t="s">
        <v>10</v>
      </c>
      <c r="E201" s="52" t="s">
        <v>11</v>
      </c>
      <c r="F201" s="52" t="s">
        <v>12</v>
      </c>
      <c r="G201" s="210"/>
      <c r="H201" s="52" t="s">
        <v>13</v>
      </c>
      <c r="I201" s="52" t="s">
        <v>14</v>
      </c>
      <c r="J201" s="52" t="s">
        <v>191</v>
      </c>
      <c r="K201" s="52" t="s">
        <v>17</v>
      </c>
      <c r="L201" s="52" t="s">
        <v>20</v>
      </c>
    </row>
    <row r="202" spans="1:12" ht="15.75" x14ac:dyDescent="0.25">
      <c r="A202" s="204"/>
      <c r="B202" s="7">
        <v>2</v>
      </c>
      <c r="C202" s="8">
        <v>3</v>
      </c>
      <c r="D202" s="8">
        <v>4</v>
      </c>
      <c r="E202" s="8">
        <v>5</v>
      </c>
      <c r="F202" s="8">
        <v>6</v>
      </c>
      <c r="G202" s="9">
        <v>7</v>
      </c>
      <c r="H202" s="8">
        <v>8</v>
      </c>
      <c r="I202" s="8">
        <v>9</v>
      </c>
      <c r="J202" s="8">
        <v>10</v>
      </c>
      <c r="K202" s="8">
        <v>12</v>
      </c>
      <c r="L202" s="8">
        <v>15</v>
      </c>
    </row>
    <row r="203" spans="1:12" ht="15.75" x14ac:dyDescent="0.25">
      <c r="A203" s="6">
        <v>1</v>
      </c>
      <c r="B203" s="11" t="s">
        <v>21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5.75" x14ac:dyDescent="0.25">
      <c r="A204" s="74" t="s">
        <v>284</v>
      </c>
      <c r="B204" s="17" t="s">
        <v>309</v>
      </c>
      <c r="C204" s="16">
        <v>200</v>
      </c>
      <c r="D204" s="19">
        <v>7.09</v>
      </c>
      <c r="E204" s="19">
        <v>9.24</v>
      </c>
      <c r="F204" s="19">
        <v>27.85</v>
      </c>
      <c r="G204" s="19">
        <v>222.3</v>
      </c>
      <c r="H204" s="20">
        <v>0.13</v>
      </c>
      <c r="I204" s="20">
        <v>1.95</v>
      </c>
      <c r="J204" s="20">
        <v>0.25</v>
      </c>
      <c r="K204" s="20">
        <v>180.75</v>
      </c>
      <c r="L204" s="20">
        <v>1.21</v>
      </c>
    </row>
    <row r="205" spans="1:12" ht="15.75" x14ac:dyDescent="0.25">
      <c r="A205" s="12" t="s">
        <v>182</v>
      </c>
      <c r="B205" s="13" t="s">
        <v>25</v>
      </c>
      <c r="C205" s="16">
        <v>180</v>
      </c>
      <c r="D205" s="15">
        <v>2.85</v>
      </c>
      <c r="E205" s="15">
        <v>2.41</v>
      </c>
      <c r="F205" s="15">
        <v>14.36</v>
      </c>
      <c r="G205" s="15">
        <v>91</v>
      </c>
      <c r="H205" s="15">
        <v>0.04</v>
      </c>
      <c r="I205" s="15">
        <v>1.17</v>
      </c>
      <c r="J205" s="15">
        <v>0.14000000000000001</v>
      </c>
      <c r="K205" s="15">
        <v>113.2</v>
      </c>
      <c r="L205" s="15">
        <v>0.12</v>
      </c>
    </row>
    <row r="206" spans="1:12" ht="15.75" x14ac:dyDescent="0.25">
      <c r="A206" s="12"/>
      <c r="B206" s="17" t="s">
        <v>27</v>
      </c>
      <c r="C206" s="16">
        <v>5.6</v>
      </c>
      <c r="D206" s="15">
        <v>5.5999999999999994E-2</v>
      </c>
      <c r="E206" s="15">
        <v>4.032</v>
      </c>
      <c r="F206" s="15">
        <v>5.5999999999999994E-2</v>
      </c>
      <c r="G206" s="15">
        <v>36.959999999999994</v>
      </c>
      <c r="H206" s="18">
        <v>0</v>
      </c>
      <c r="I206" s="18">
        <v>0.15679999999999999</v>
      </c>
      <c r="J206" s="18">
        <v>0</v>
      </c>
      <c r="K206" s="18">
        <v>1.232</v>
      </c>
      <c r="L206" s="18">
        <v>1.1199999999999998E-4</v>
      </c>
    </row>
    <row r="207" spans="1:12" ht="15.75" x14ac:dyDescent="0.25">
      <c r="A207" s="12"/>
      <c r="B207" s="17" t="s">
        <v>30</v>
      </c>
      <c r="C207" s="16">
        <v>32</v>
      </c>
      <c r="D207" s="15">
        <v>2.5299999999999998</v>
      </c>
      <c r="E207" s="19">
        <v>0.32</v>
      </c>
      <c r="F207" s="19">
        <f>C207*48.3/100</f>
        <v>15.456</v>
      </c>
      <c r="G207" s="19">
        <f>C207*235/100</f>
        <v>75.2</v>
      </c>
      <c r="H207" s="21">
        <v>0.05</v>
      </c>
      <c r="I207" s="21">
        <v>0</v>
      </c>
      <c r="J207" s="21">
        <v>0.02</v>
      </c>
      <c r="K207" s="21">
        <v>7.36</v>
      </c>
      <c r="L207" s="21">
        <v>0.64</v>
      </c>
    </row>
    <row r="208" spans="1:12" ht="15.75" x14ac:dyDescent="0.25">
      <c r="A208" s="44"/>
      <c r="B208" s="17" t="s">
        <v>214</v>
      </c>
      <c r="C208" s="16">
        <v>80</v>
      </c>
      <c r="D208" s="19">
        <f>C208*1.5/100</f>
        <v>1.2</v>
      </c>
      <c r="E208" s="19">
        <f>C208*0.5/100</f>
        <v>0.4</v>
      </c>
      <c r="F208" s="19">
        <f>C208*21/100</f>
        <v>16.8</v>
      </c>
      <c r="G208" s="19">
        <f>C208*89.3/100</f>
        <v>71.44</v>
      </c>
      <c r="H208" s="20">
        <v>0.1</v>
      </c>
      <c r="I208" s="20">
        <f>C208*5/100</f>
        <v>4</v>
      </c>
      <c r="J208" s="20">
        <f>C208*0.1/100</f>
        <v>0.08</v>
      </c>
      <c r="K208" s="20">
        <v>17.12</v>
      </c>
      <c r="L208" s="20">
        <f>D208*0.6/100</f>
        <v>7.1999999999999998E-3</v>
      </c>
    </row>
    <row r="209" spans="1:12" ht="15.75" x14ac:dyDescent="0.25">
      <c r="A209" s="44"/>
      <c r="B209" s="17" t="s">
        <v>200</v>
      </c>
      <c r="C209" s="16">
        <v>25</v>
      </c>
      <c r="D209" s="19">
        <v>0.25</v>
      </c>
      <c r="E209" s="19">
        <v>1.63</v>
      </c>
      <c r="F209" s="19">
        <v>0.73</v>
      </c>
      <c r="G209" s="19">
        <v>69.5</v>
      </c>
      <c r="H209" s="20">
        <v>1.6E-2</v>
      </c>
      <c r="I209" s="20">
        <v>1.6E-2</v>
      </c>
      <c r="J209" s="20">
        <v>0.02</v>
      </c>
      <c r="K209" s="20">
        <v>4.83</v>
      </c>
      <c r="L209" s="20">
        <v>2</v>
      </c>
    </row>
    <row r="210" spans="1:12" ht="15.75" x14ac:dyDescent="0.25">
      <c r="A210" s="12"/>
      <c r="B210" s="78" t="s">
        <v>269</v>
      </c>
      <c r="C210" s="79">
        <f t="shared" ref="C210:H210" si="23">SUM(C204:C209)</f>
        <v>522.6</v>
      </c>
      <c r="D210" s="80">
        <f t="shared" si="23"/>
        <v>13.975999999999997</v>
      </c>
      <c r="E210" s="80">
        <f t="shared" si="23"/>
        <v>18.031999999999996</v>
      </c>
      <c r="F210" s="80">
        <f t="shared" si="23"/>
        <v>75.251999999999995</v>
      </c>
      <c r="G210" s="80">
        <f t="shared" si="23"/>
        <v>566.4</v>
      </c>
      <c r="H210" s="80">
        <f t="shared" si="23"/>
        <v>0.33600000000000008</v>
      </c>
      <c r="I210" s="80">
        <f>SUM(I204:I208)</f>
        <v>7.2767999999999997</v>
      </c>
      <c r="J210" s="80">
        <f>SUM(J204:J208)</f>
        <v>0.49000000000000005</v>
      </c>
      <c r="K210" s="80">
        <f>SUM(K204:K208)</f>
        <v>319.66200000000003</v>
      </c>
      <c r="L210" s="80">
        <f>SUM(L204:L208)</f>
        <v>1.977312</v>
      </c>
    </row>
    <row r="211" spans="1:12" ht="15.75" x14ac:dyDescent="0.25">
      <c r="A211" s="87"/>
      <c r="B211" s="2" t="s">
        <v>35</v>
      </c>
      <c r="C211" s="16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1:12" ht="15.75" x14ac:dyDescent="0.25">
      <c r="A212" s="40" t="s">
        <v>286</v>
      </c>
      <c r="B212" s="17" t="s">
        <v>285</v>
      </c>
      <c r="C212" s="14">
        <v>200</v>
      </c>
      <c r="D212" s="15">
        <v>13.7</v>
      </c>
      <c r="E212" s="15">
        <v>10.4</v>
      </c>
      <c r="F212" s="15">
        <v>31.1</v>
      </c>
      <c r="G212" s="15">
        <v>160</v>
      </c>
      <c r="H212" s="15">
        <v>0.2</v>
      </c>
      <c r="I212" s="15">
        <v>4.2699999999999996</v>
      </c>
      <c r="J212" s="15">
        <v>0.06</v>
      </c>
      <c r="K212" s="15">
        <v>47.87</v>
      </c>
      <c r="L212" s="15">
        <v>2.12</v>
      </c>
    </row>
    <row r="213" spans="1:12" ht="15.75" x14ac:dyDescent="0.25">
      <c r="A213" s="12" t="s">
        <v>288</v>
      </c>
      <c r="B213" s="17" t="s">
        <v>287</v>
      </c>
      <c r="C213" s="16">
        <v>150</v>
      </c>
      <c r="D213" s="88">
        <v>2.4</v>
      </c>
      <c r="E213" s="15">
        <v>11.33</v>
      </c>
      <c r="F213" s="15">
        <v>13.59</v>
      </c>
      <c r="G213" s="15">
        <v>106.3</v>
      </c>
      <c r="H213" s="15">
        <v>7.0000000000000007E-2</v>
      </c>
      <c r="I213" s="15">
        <v>8.27</v>
      </c>
      <c r="J213" s="15">
        <v>7.0000000000000007E-2</v>
      </c>
      <c r="K213" s="15">
        <v>37.799999999999997</v>
      </c>
      <c r="L213" s="15">
        <v>0.87</v>
      </c>
    </row>
    <row r="214" spans="1:12" ht="15.75" x14ac:dyDescent="0.25">
      <c r="A214" s="12"/>
      <c r="B214" s="48" t="s">
        <v>289</v>
      </c>
      <c r="C214" s="16">
        <v>70</v>
      </c>
      <c r="D214" s="19">
        <v>8.14</v>
      </c>
      <c r="E214" s="19">
        <v>9.0399999999999991</v>
      </c>
      <c r="F214" s="19">
        <v>10.3</v>
      </c>
      <c r="G214" s="19">
        <v>135</v>
      </c>
      <c r="H214" s="20">
        <v>0.05</v>
      </c>
      <c r="I214" s="20">
        <v>0.45</v>
      </c>
      <c r="J214" s="20">
        <v>0.08</v>
      </c>
      <c r="K214" s="20">
        <v>25.8</v>
      </c>
      <c r="L214" s="20">
        <v>0.74</v>
      </c>
    </row>
    <row r="215" spans="1:12" ht="15.75" x14ac:dyDescent="0.25">
      <c r="A215" s="29" t="s">
        <v>291</v>
      </c>
      <c r="B215" s="48" t="s">
        <v>290</v>
      </c>
      <c r="C215" s="16">
        <v>180</v>
      </c>
      <c r="D215" s="15">
        <v>0.51</v>
      </c>
      <c r="E215" s="15">
        <v>5.3999999999999999E-2</v>
      </c>
      <c r="F215" s="15">
        <v>22.65</v>
      </c>
      <c r="G215" s="15">
        <v>111.2</v>
      </c>
      <c r="H215" s="15">
        <v>5.3999999999999999E-2</v>
      </c>
      <c r="I215" s="15">
        <v>0.98</v>
      </c>
      <c r="J215" s="15">
        <v>0.1</v>
      </c>
      <c r="K215" s="15">
        <v>14.13</v>
      </c>
      <c r="L215" s="15">
        <v>0.33</v>
      </c>
    </row>
    <row r="216" spans="1:12" ht="15.75" x14ac:dyDescent="0.25">
      <c r="A216" s="40"/>
      <c r="B216" s="17" t="s">
        <v>46</v>
      </c>
      <c r="C216" s="16">
        <v>40</v>
      </c>
      <c r="D216" s="15">
        <v>3.4</v>
      </c>
      <c r="E216" s="19">
        <v>1.32</v>
      </c>
      <c r="F216" s="19">
        <v>17</v>
      </c>
      <c r="G216" s="19">
        <v>103.6</v>
      </c>
      <c r="H216" s="21">
        <v>0.17</v>
      </c>
      <c r="I216" s="21">
        <v>0.16</v>
      </c>
      <c r="J216" s="21">
        <v>0.13</v>
      </c>
      <c r="K216" s="21">
        <v>13.2</v>
      </c>
      <c r="L216" s="21">
        <v>0.05</v>
      </c>
    </row>
    <row r="217" spans="1:12" ht="15.75" x14ac:dyDescent="0.25">
      <c r="A217" s="40"/>
      <c r="B217" s="78" t="s">
        <v>271</v>
      </c>
      <c r="C217" s="79">
        <f t="shared" ref="C217:L217" si="24">SUM(C212:C216)</f>
        <v>640</v>
      </c>
      <c r="D217" s="80">
        <f t="shared" si="24"/>
        <v>28.15</v>
      </c>
      <c r="E217" s="80">
        <f t="shared" si="24"/>
        <v>32.143999999999998</v>
      </c>
      <c r="F217" s="80">
        <f t="shared" si="24"/>
        <v>94.639999999999986</v>
      </c>
      <c r="G217" s="80">
        <f t="shared" si="24"/>
        <v>616.1</v>
      </c>
      <c r="H217" s="80">
        <f t="shared" si="24"/>
        <v>0.54400000000000004</v>
      </c>
      <c r="I217" s="80">
        <f t="shared" si="24"/>
        <v>14.129999999999999</v>
      </c>
      <c r="J217" s="80">
        <f t="shared" si="24"/>
        <v>0.44000000000000006</v>
      </c>
      <c r="K217" s="80">
        <f t="shared" si="24"/>
        <v>138.79999999999998</v>
      </c>
      <c r="L217" s="80">
        <f t="shared" si="24"/>
        <v>4.1100000000000003</v>
      </c>
    </row>
    <row r="218" spans="1:12" ht="15.75" x14ac:dyDescent="0.25">
      <c r="A218" s="40"/>
      <c r="B218" s="54" t="s">
        <v>178</v>
      </c>
      <c r="C218" s="86"/>
      <c r="D218" s="147"/>
      <c r="E218" s="147"/>
      <c r="F218" s="147"/>
      <c r="G218" s="147"/>
      <c r="H218" s="147"/>
      <c r="I218" s="147"/>
      <c r="J218" s="147"/>
      <c r="K218" s="147"/>
      <c r="L218" s="147"/>
    </row>
    <row r="219" spans="1:12" ht="15.75" x14ac:dyDescent="0.25">
      <c r="A219" s="40" t="s">
        <v>292</v>
      </c>
      <c r="B219" s="13" t="s">
        <v>308</v>
      </c>
      <c r="C219" s="86">
        <v>200</v>
      </c>
      <c r="D219" s="147">
        <v>8.1300000000000008</v>
      </c>
      <c r="E219" s="147">
        <v>6.86</v>
      </c>
      <c r="F219" s="147">
        <v>47.1</v>
      </c>
      <c r="G219" s="147">
        <v>230.99</v>
      </c>
      <c r="H219" s="147">
        <v>0.14000000000000001</v>
      </c>
      <c r="I219" s="147">
        <v>0.47</v>
      </c>
      <c r="J219" s="147">
        <v>0.13</v>
      </c>
      <c r="K219" s="147">
        <v>57.6</v>
      </c>
      <c r="L219" s="147">
        <v>1.35</v>
      </c>
    </row>
    <row r="220" spans="1:12" ht="15.75" x14ac:dyDescent="0.25">
      <c r="A220" s="162" t="s">
        <v>293</v>
      </c>
      <c r="B220" s="145" t="s">
        <v>194</v>
      </c>
      <c r="C220" s="86">
        <v>200</v>
      </c>
      <c r="D220" s="147">
        <v>0.61</v>
      </c>
      <c r="E220" s="147">
        <v>0.25</v>
      </c>
      <c r="F220" s="147">
        <v>18.670000000000002</v>
      </c>
      <c r="G220" s="147">
        <v>19</v>
      </c>
      <c r="H220" s="147">
        <v>0.01</v>
      </c>
      <c r="I220" s="147">
        <v>90</v>
      </c>
      <c r="J220" s="147">
        <v>0.05</v>
      </c>
      <c r="K220" s="147">
        <v>19.2</v>
      </c>
      <c r="L220" s="147">
        <v>0.56999999999999995</v>
      </c>
    </row>
    <row r="221" spans="1:12" ht="15.75" x14ac:dyDescent="0.25">
      <c r="A221" s="40"/>
      <c r="B221" s="145" t="s">
        <v>195</v>
      </c>
      <c r="C221" s="86">
        <v>100</v>
      </c>
      <c r="D221" s="147">
        <v>2.8</v>
      </c>
      <c r="E221" s="147">
        <v>2.5</v>
      </c>
      <c r="F221" s="147">
        <v>12</v>
      </c>
      <c r="G221" s="147">
        <v>82</v>
      </c>
      <c r="H221" s="147">
        <v>0</v>
      </c>
      <c r="I221" s="147">
        <v>0</v>
      </c>
      <c r="J221" s="147">
        <v>0</v>
      </c>
      <c r="K221" s="147">
        <v>0</v>
      </c>
      <c r="L221" s="147">
        <v>0</v>
      </c>
    </row>
    <row r="222" spans="1:12" ht="15.75" x14ac:dyDescent="0.25">
      <c r="A222" s="40"/>
      <c r="B222" s="17" t="s">
        <v>30</v>
      </c>
      <c r="C222" s="16">
        <v>32</v>
      </c>
      <c r="D222" s="15">
        <v>2.5299999999999998</v>
      </c>
      <c r="E222" s="19">
        <v>0.32</v>
      </c>
      <c r="F222" s="19">
        <f>C222*48.3/100</f>
        <v>15.456</v>
      </c>
      <c r="G222" s="19">
        <f>C222*235/100</f>
        <v>75.2</v>
      </c>
      <c r="H222" s="21">
        <v>0.05</v>
      </c>
      <c r="I222" s="21">
        <v>0</v>
      </c>
      <c r="J222" s="21">
        <v>0.02</v>
      </c>
      <c r="K222" s="21">
        <v>7.36</v>
      </c>
      <c r="L222" s="21">
        <v>0.64</v>
      </c>
    </row>
    <row r="223" spans="1:12" ht="15.75" x14ac:dyDescent="0.25">
      <c r="A223" s="40"/>
      <c r="B223" s="78" t="s">
        <v>270</v>
      </c>
      <c r="C223" s="79">
        <f t="shared" ref="C223:L223" si="25">SUM(C219:C222)</f>
        <v>532</v>
      </c>
      <c r="D223" s="80">
        <f t="shared" si="25"/>
        <v>14.069999999999999</v>
      </c>
      <c r="E223" s="80">
        <f t="shared" si="25"/>
        <v>9.93</v>
      </c>
      <c r="F223" s="80">
        <f t="shared" si="25"/>
        <v>93.226000000000013</v>
      </c>
      <c r="G223" s="80">
        <f t="shared" si="25"/>
        <v>407.19</v>
      </c>
      <c r="H223" s="80">
        <f t="shared" si="25"/>
        <v>0.2</v>
      </c>
      <c r="I223" s="80">
        <f t="shared" si="25"/>
        <v>90.47</v>
      </c>
      <c r="J223" s="80">
        <f t="shared" si="25"/>
        <v>0.19999999999999998</v>
      </c>
      <c r="K223" s="80">
        <f t="shared" si="25"/>
        <v>84.16</v>
      </c>
      <c r="L223" s="80">
        <f t="shared" si="25"/>
        <v>2.56</v>
      </c>
    </row>
    <row r="224" spans="1:12" ht="15.75" x14ac:dyDescent="0.25">
      <c r="A224" s="41"/>
      <c r="B224" s="63" t="s">
        <v>196</v>
      </c>
      <c r="C224" s="84"/>
      <c r="D224" s="25">
        <f t="shared" ref="D224:L224" si="26">D210+D217+D223</f>
        <v>56.195999999999998</v>
      </c>
      <c r="E224" s="25">
        <f t="shared" si="26"/>
        <v>60.105999999999995</v>
      </c>
      <c r="F224" s="25">
        <f t="shared" si="26"/>
        <v>263.11799999999999</v>
      </c>
      <c r="G224" s="25">
        <f t="shared" si="26"/>
        <v>1589.69</v>
      </c>
      <c r="H224" s="25">
        <f t="shared" si="26"/>
        <v>1.08</v>
      </c>
      <c r="I224" s="25">
        <f t="shared" si="26"/>
        <v>111.8768</v>
      </c>
      <c r="J224" s="25">
        <f t="shared" si="26"/>
        <v>1.1300000000000001</v>
      </c>
      <c r="K224" s="25">
        <f t="shared" si="26"/>
        <v>542.62199999999996</v>
      </c>
      <c r="L224" s="25">
        <f t="shared" si="26"/>
        <v>8.6473120000000012</v>
      </c>
    </row>
    <row r="225" spans="1:12" ht="15.75" x14ac:dyDescent="0.25">
      <c r="A225" s="43"/>
      <c r="B225" s="220"/>
      <c r="C225" s="221"/>
      <c r="D225" s="85"/>
      <c r="E225" s="42"/>
      <c r="F225" s="42"/>
      <c r="G225" s="42"/>
      <c r="H225" s="85"/>
      <c r="I225" s="42"/>
      <c r="J225" s="42"/>
      <c r="K225" s="42"/>
      <c r="L225" s="85"/>
    </row>
    <row r="226" spans="1:12" ht="15.75" x14ac:dyDescent="0.25">
      <c r="A226" s="10"/>
      <c r="B226" s="211" t="s">
        <v>148</v>
      </c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</row>
    <row r="227" spans="1:12" ht="15.75" x14ac:dyDescent="0.25">
      <c r="A227" s="10"/>
      <c r="B227" s="205" t="s">
        <v>4</v>
      </c>
      <c r="C227" s="206" t="s">
        <v>5</v>
      </c>
      <c r="D227" s="208" t="s">
        <v>6</v>
      </c>
      <c r="E227" s="208"/>
      <c r="F227" s="208"/>
      <c r="G227" s="209" t="s">
        <v>7</v>
      </c>
      <c r="H227" s="208" t="s">
        <v>197</v>
      </c>
      <c r="I227" s="208"/>
      <c r="J227" s="208"/>
      <c r="K227" s="208" t="s">
        <v>192</v>
      </c>
      <c r="L227" s="208"/>
    </row>
    <row r="228" spans="1:12" ht="15.75" x14ac:dyDescent="0.25">
      <c r="A228" s="203" t="s">
        <v>3</v>
      </c>
      <c r="B228" s="205"/>
      <c r="C228" s="207"/>
      <c r="D228" s="52" t="s">
        <v>10</v>
      </c>
      <c r="E228" s="52" t="s">
        <v>11</v>
      </c>
      <c r="F228" s="52" t="s">
        <v>12</v>
      </c>
      <c r="G228" s="210"/>
      <c r="H228" s="52" t="s">
        <v>13</v>
      </c>
      <c r="I228" s="52" t="s">
        <v>14</v>
      </c>
      <c r="J228" s="52" t="s">
        <v>191</v>
      </c>
      <c r="K228" s="52" t="s">
        <v>17</v>
      </c>
      <c r="L228" s="52" t="s">
        <v>20</v>
      </c>
    </row>
    <row r="229" spans="1:12" ht="15.75" x14ac:dyDescent="0.25">
      <c r="A229" s="204"/>
      <c r="B229" s="7">
        <v>2</v>
      </c>
      <c r="C229" s="8">
        <v>3</v>
      </c>
      <c r="D229" s="8">
        <v>4</v>
      </c>
      <c r="E229" s="8">
        <v>5</v>
      </c>
      <c r="F229" s="8">
        <v>6</v>
      </c>
      <c r="G229" s="9">
        <v>7</v>
      </c>
      <c r="H229" s="8">
        <v>8</v>
      </c>
      <c r="I229" s="8">
        <v>9</v>
      </c>
      <c r="J229" s="8">
        <v>10</v>
      </c>
      <c r="K229" s="8">
        <v>12</v>
      </c>
      <c r="L229" s="8">
        <v>15</v>
      </c>
    </row>
    <row r="230" spans="1:12" ht="15.75" x14ac:dyDescent="0.25">
      <c r="A230" s="6">
        <v>1</v>
      </c>
      <c r="B230" s="54" t="s">
        <v>21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 ht="15.75" x14ac:dyDescent="0.25">
      <c r="A231" s="43" t="s">
        <v>261</v>
      </c>
      <c r="B231" s="13" t="s">
        <v>162</v>
      </c>
      <c r="C231" s="16">
        <v>200</v>
      </c>
      <c r="D231" s="19">
        <v>6.59</v>
      </c>
      <c r="E231" s="19">
        <v>9.49</v>
      </c>
      <c r="F231" s="19">
        <v>28.5</v>
      </c>
      <c r="G231" s="19">
        <v>225.6</v>
      </c>
      <c r="H231" s="20">
        <v>0.16</v>
      </c>
      <c r="I231" s="20">
        <v>1.95</v>
      </c>
      <c r="J231" s="20">
        <v>0.27</v>
      </c>
      <c r="K231" s="20">
        <v>185.75</v>
      </c>
      <c r="L231" s="20">
        <v>1.33</v>
      </c>
    </row>
    <row r="232" spans="1:12" ht="15.75" x14ac:dyDescent="0.25">
      <c r="A232" s="12" t="s">
        <v>215</v>
      </c>
      <c r="B232" s="13" t="s">
        <v>74</v>
      </c>
      <c r="C232" s="55">
        <v>180</v>
      </c>
      <c r="D232" s="56">
        <v>3.67</v>
      </c>
      <c r="E232" s="56">
        <v>3.19</v>
      </c>
      <c r="F232" s="56">
        <v>15.82</v>
      </c>
      <c r="G232" s="56">
        <v>107</v>
      </c>
      <c r="H232" s="15">
        <v>0.05</v>
      </c>
      <c r="I232" s="15">
        <v>1.43</v>
      </c>
      <c r="J232" s="15">
        <v>0.17</v>
      </c>
      <c r="K232" s="15">
        <v>118</v>
      </c>
      <c r="L232" s="15">
        <v>0.43</v>
      </c>
    </row>
    <row r="233" spans="1:12" ht="15.75" x14ac:dyDescent="0.25">
      <c r="A233" s="12"/>
      <c r="B233" s="17" t="s">
        <v>30</v>
      </c>
      <c r="C233" s="16">
        <v>32</v>
      </c>
      <c r="D233" s="15">
        <v>2.5299999999999998</v>
      </c>
      <c r="E233" s="19">
        <v>0.32</v>
      </c>
      <c r="F233" s="19">
        <f>C233*48.3/100</f>
        <v>15.456</v>
      </c>
      <c r="G233" s="19">
        <f>C233*235/100</f>
        <v>75.2</v>
      </c>
      <c r="H233" s="21">
        <v>0.05</v>
      </c>
      <c r="I233" s="21">
        <v>0</v>
      </c>
      <c r="J233" s="21">
        <v>0.02</v>
      </c>
      <c r="K233" s="21">
        <v>7.36</v>
      </c>
      <c r="L233" s="21">
        <v>0.64</v>
      </c>
    </row>
    <row r="234" spans="1:12" ht="15.75" x14ac:dyDescent="0.25">
      <c r="A234" s="12"/>
      <c r="B234" s="17" t="s">
        <v>27</v>
      </c>
      <c r="C234" s="16">
        <v>5.6</v>
      </c>
      <c r="D234" s="15">
        <f>C234*0.04/4.8</f>
        <v>4.6666666666666662E-2</v>
      </c>
      <c r="E234" s="15">
        <f>C234*0.06/4.8</f>
        <v>6.9999999999999993E-2</v>
      </c>
      <c r="F234" s="15">
        <f>C234*41.28/4.8</f>
        <v>48.16</v>
      </c>
      <c r="G234" s="15">
        <f>C234*41.28/4.8</f>
        <v>48.16</v>
      </c>
      <c r="H234" s="18">
        <f>C234*0/4.8</f>
        <v>0</v>
      </c>
      <c r="I234" s="18">
        <f>C224*0/4.8</f>
        <v>0</v>
      </c>
      <c r="J234" s="18">
        <f>C234*0/4.8</f>
        <v>0</v>
      </c>
      <c r="K234" s="18">
        <f>C234*1.15/4.8</f>
        <v>1.3416666666666666</v>
      </c>
      <c r="L234" s="18">
        <f>C234*0/4.8</f>
        <v>0</v>
      </c>
    </row>
    <row r="235" spans="1:12" ht="15.75" x14ac:dyDescent="0.25">
      <c r="A235" s="12"/>
      <c r="B235" s="17" t="s">
        <v>29</v>
      </c>
      <c r="C235" s="16">
        <v>10</v>
      </c>
      <c r="D235" s="15">
        <f>C235*6.96/30</f>
        <v>2.3199999999999998</v>
      </c>
      <c r="E235" s="19">
        <f>C235*8.85/30</f>
        <v>2.95</v>
      </c>
      <c r="F235" s="19">
        <v>0</v>
      </c>
      <c r="G235" s="19">
        <f>C235*109.2/30</f>
        <v>36.4</v>
      </c>
      <c r="H235" s="20">
        <f>C235*0.01/30</f>
        <v>3.3333333333333335E-3</v>
      </c>
      <c r="I235" s="20">
        <f>C235*0.48/30</f>
        <v>0.16</v>
      </c>
      <c r="J235" s="20">
        <f>C235*0.08/30</f>
        <v>2.6666666666666668E-2</v>
      </c>
      <c r="K235" s="20">
        <v>80</v>
      </c>
      <c r="L235" s="20">
        <f>D235*0.33/30</f>
        <v>2.5519999999999998E-2</v>
      </c>
    </row>
    <row r="236" spans="1:12" ht="15.75" x14ac:dyDescent="0.25">
      <c r="A236" s="12"/>
      <c r="B236" s="17" t="s">
        <v>214</v>
      </c>
      <c r="C236" s="16">
        <v>80</v>
      </c>
      <c r="D236" s="19">
        <f>C236*1.5/100</f>
        <v>1.2</v>
      </c>
      <c r="E236" s="19">
        <f>C236*0.5/100</f>
        <v>0.4</v>
      </c>
      <c r="F236" s="19">
        <f>C236*21/100</f>
        <v>16.8</v>
      </c>
      <c r="G236" s="19">
        <f>C236*89.3/100</f>
        <v>71.44</v>
      </c>
      <c r="H236" s="20">
        <v>0.1</v>
      </c>
      <c r="I236" s="20">
        <f>C236*5/100</f>
        <v>4</v>
      </c>
      <c r="J236" s="20">
        <f>C236*0.1/100</f>
        <v>0.08</v>
      </c>
      <c r="K236" s="20">
        <v>17.12</v>
      </c>
      <c r="L236" s="20">
        <f>D236*0.6/100</f>
        <v>7.1999999999999998E-3</v>
      </c>
    </row>
    <row r="237" spans="1:12" ht="15.75" x14ac:dyDescent="0.25">
      <c r="A237" s="12"/>
      <c r="B237" s="78" t="s">
        <v>269</v>
      </c>
      <c r="C237" s="79">
        <f t="shared" ref="C237:J237" si="27">SUM(C231:C236)</f>
        <v>507.6</v>
      </c>
      <c r="D237" s="80">
        <f t="shared" si="27"/>
        <v>16.356666666666666</v>
      </c>
      <c r="E237" s="80">
        <f t="shared" si="27"/>
        <v>16.419999999999998</v>
      </c>
      <c r="F237" s="80">
        <f t="shared" si="27"/>
        <v>124.73599999999999</v>
      </c>
      <c r="G237" s="80">
        <f t="shared" si="27"/>
        <v>563.79999999999995</v>
      </c>
      <c r="H237" s="80">
        <f t="shared" si="27"/>
        <v>0.3633333333333334</v>
      </c>
      <c r="I237" s="80">
        <f t="shared" si="27"/>
        <v>7.54</v>
      </c>
      <c r="J237" s="80">
        <f t="shared" si="27"/>
        <v>0.56666666666666676</v>
      </c>
      <c r="K237" s="80">
        <f>SUM(K231:K235)</f>
        <v>392.45166666666665</v>
      </c>
      <c r="L237" s="80">
        <f>SUM(L231:L235)</f>
        <v>2.4255200000000001</v>
      </c>
    </row>
    <row r="238" spans="1:12" ht="15.75" x14ac:dyDescent="0.25">
      <c r="A238" s="41"/>
      <c r="B238" s="2" t="s">
        <v>35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 ht="15.75" x14ac:dyDescent="0.25">
      <c r="A239" s="43" t="s">
        <v>294</v>
      </c>
      <c r="B239" s="17" t="s">
        <v>125</v>
      </c>
      <c r="C239" s="14">
        <v>200</v>
      </c>
      <c r="D239" s="15">
        <v>1.77</v>
      </c>
      <c r="E239" s="15">
        <v>5.04</v>
      </c>
      <c r="F239" s="15">
        <v>9.2100000000000009</v>
      </c>
      <c r="G239" s="15">
        <v>1.1000000000000001</v>
      </c>
      <c r="H239" s="15">
        <v>7.0000000000000007E-2</v>
      </c>
      <c r="I239" s="15">
        <v>18.25</v>
      </c>
      <c r="J239" s="15">
        <v>5.2999999999999999E-2</v>
      </c>
      <c r="K239" s="15">
        <v>28.2</v>
      </c>
      <c r="L239" s="15">
        <v>0.53</v>
      </c>
    </row>
    <row r="240" spans="1:12" ht="15.75" x14ac:dyDescent="0.25">
      <c r="A240" s="12" t="s">
        <v>296</v>
      </c>
      <c r="B240" s="17" t="s">
        <v>295</v>
      </c>
      <c r="C240" s="16">
        <v>180</v>
      </c>
      <c r="D240" s="15">
        <v>12.13</v>
      </c>
      <c r="E240" s="19">
        <v>9.5</v>
      </c>
      <c r="F240" s="19">
        <v>25.7</v>
      </c>
      <c r="G240" s="19">
        <v>207</v>
      </c>
      <c r="H240" s="21">
        <v>0.17</v>
      </c>
      <c r="I240" s="21">
        <v>3.8</v>
      </c>
      <c r="J240" s="21">
        <v>0.16</v>
      </c>
      <c r="K240" s="21">
        <v>24.8</v>
      </c>
      <c r="L240" s="21">
        <v>1.82</v>
      </c>
    </row>
    <row r="241" spans="1:14" ht="15.75" x14ac:dyDescent="0.25">
      <c r="A241" s="12" t="s">
        <v>251</v>
      </c>
      <c r="B241" s="17" t="s">
        <v>249</v>
      </c>
      <c r="C241" s="14">
        <v>30</v>
      </c>
      <c r="D241" s="15">
        <v>0.56999999999999995</v>
      </c>
      <c r="E241" s="19">
        <v>0.9</v>
      </c>
      <c r="F241" s="19">
        <v>2.38</v>
      </c>
      <c r="G241" s="19">
        <v>27.7</v>
      </c>
      <c r="H241" s="21">
        <v>8.0000000000000002E-3</v>
      </c>
      <c r="I241" s="21">
        <v>0.69</v>
      </c>
      <c r="J241" s="21">
        <v>8.9999999999999993E-3</v>
      </c>
      <c r="K241" s="21">
        <v>10.1</v>
      </c>
      <c r="L241" s="21">
        <v>0.16</v>
      </c>
    </row>
    <row r="242" spans="1:14" ht="15.75" x14ac:dyDescent="0.25">
      <c r="A242" s="12" t="s">
        <v>298</v>
      </c>
      <c r="B242" s="90" t="s">
        <v>297</v>
      </c>
      <c r="C242" s="86">
        <v>60</v>
      </c>
      <c r="D242" s="157">
        <v>0.56999999999999995</v>
      </c>
      <c r="E242" s="157">
        <v>3.68</v>
      </c>
      <c r="F242" s="157">
        <v>1.84</v>
      </c>
      <c r="G242" s="157">
        <v>42.84</v>
      </c>
      <c r="H242" s="158">
        <v>0.02</v>
      </c>
      <c r="I242" s="158">
        <v>11.4</v>
      </c>
      <c r="J242" s="158">
        <v>0.02</v>
      </c>
      <c r="K242" s="158">
        <v>16.059999999999999</v>
      </c>
      <c r="L242" s="158">
        <v>0.45</v>
      </c>
      <c r="N242" s="176"/>
    </row>
    <row r="243" spans="1:14" ht="15.75" x14ac:dyDescent="0.25">
      <c r="A243" s="89"/>
      <c r="B243" s="13" t="s">
        <v>253</v>
      </c>
      <c r="C243" s="86">
        <v>180</v>
      </c>
      <c r="D243" s="147">
        <v>0.39</v>
      </c>
      <c r="E243" s="147">
        <v>1.7999999999999999E-2</v>
      </c>
      <c r="F243" s="147">
        <v>24.9</v>
      </c>
      <c r="G243" s="147">
        <v>101.7</v>
      </c>
      <c r="H243" s="147">
        <v>1E-3</v>
      </c>
      <c r="I243" s="147">
        <v>0.36</v>
      </c>
      <c r="J243" s="147">
        <v>5.0000000000000001E-3</v>
      </c>
      <c r="K243" s="147">
        <v>28.6</v>
      </c>
      <c r="L243" s="147">
        <v>1.1200000000000001</v>
      </c>
      <c r="N243" s="176"/>
    </row>
    <row r="244" spans="1:14" ht="15.75" x14ac:dyDescent="0.25">
      <c r="A244" s="40"/>
      <c r="B244" s="13" t="s">
        <v>46</v>
      </c>
      <c r="C244" s="16">
        <v>40</v>
      </c>
      <c r="D244" s="15">
        <v>3.4</v>
      </c>
      <c r="E244" s="19">
        <v>1.32</v>
      </c>
      <c r="F244" s="19">
        <v>17</v>
      </c>
      <c r="G244" s="19">
        <v>103.6</v>
      </c>
      <c r="H244" s="21">
        <v>0.17</v>
      </c>
      <c r="I244" s="21">
        <v>0.16</v>
      </c>
      <c r="J244" s="21">
        <v>0.13</v>
      </c>
      <c r="K244" s="21">
        <v>13.2</v>
      </c>
      <c r="L244" s="21">
        <v>0.05</v>
      </c>
      <c r="N244" s="176"/>
    </row>
    <row r="245" spans="1:14" ht="15.75" x14ac:dyDescent="0.25">
      <c r="A245" s="40"/>
      <c r="B245" s="78" t="s">
        <v>271</v>
      </c>
      <c r="C245" s="42">
        <f t="shared" ref="C245:L245" si="28">SUM(C239:C244)</f>
        <v>690</v>
      </c>
      <c r="D245" s="42">
        <f t="shared" si="28"/>
        <v>18.830000000000002</v>
      </c>
      <c r="E245" s="42">
        <f t="shared" si="28"/>
        <v>20.458000000000002</v>
      </c>
      <c r="F245" s="42">
        <f t="shared" si="28"/>
        <v>81.03</v>
      </c>
      <c r="G245" s="42">
        <f t="shared" si="28"/>
        <v>483.93999999999994</v>
      </c>
      <c r="H245" s="42">
        <f t="shared" si="28"/>
        <v>0.43900000000000006</v>
      </c>
      <c r="I245" s="42">
        <f t="shared" si="28"/>
        <v>34.659999999999997</v>
      </c>
      <c r="J245" s="42">
        <f t="shared" si="28"/>
        <v>0.377</v>
      </c>
      <c r="K245" s="42">
        <f t="shared" si="28"/>
        <v>120.96</v>
      </c>
      <c r="L245" s="42">
        <f t="shared" si="28"/>
        <v>4.13</v>
      </c>
      <c r="N245" s="176"/>
    </row>
    <row r="246" spans="1:14" ht="15.75" x14ac:dyDescent="0.25">
      <c r="A246" s="153"/>
      <c r="B246" s="54" t="s">
        <v>178</v>
      </c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N246" s="176"/>
    </row>
    <row r="247" spans="1:14" ht="15.75" x14ac:dyDescent="0.25">
      <c r="A247" s="153" t="s">
        <v>177</v>
      </c>
      <c r="B247" s="13" t="s">
        <v>299</v>
      </c>
      <c r="C247" s="147">
        <v>120</v>
      </c>
      <c r="D247" s="147">
        <v>1.36</v>
      </c>
      <c r="E247" s="147">
        <v>6.17</v>
      </c>
      <c r="F247" s="147">
        <v>8.44</v>
      </c>
      <c r="G247" s="147">
        <v>94.8</v>
      </c>
      <c r="H247" s="147">
        <v>5.5E-2</v>
      </c>
      <c r="I247" s="147">
        <v>10.25</v>
      </c>
      <c r="J247" s="147">
        <v>4.2999999999999997E-2</v>
      </c>
      <c r="K247" s="147">
        <v>23.2</v>
      </c>
      <c r="L247" s="147">
        <v>0.85</v>
      </c>
      <c r="N247" s="176"/>
    </row>
    <row r="248" spans="1:14" ht="15.75" x14ac:dyDescent="0.25">
      <c r="A248" s="40" t="s">
        <v>258</v>
      </c>
      <c r="B248" s="13" t="s">
        <v>56</v>
      </c>
      <c r="C248" s="86">
        <v>180</v>
      </c>
      <c r="D248" s="147">
        <v>5.22</v>
      </c>
      <c r="E248" s="147">
        <v>4.5</v>
      </c>
      <c r="F248" s="147">
        <v>7.56</v>
      </c>
      <c r="G248" s="147">
        <v>92</v>
      </c>
      <c r="H248" s="147">
        <v>0.04</v>
      </c>
      <c r="I248" s="147">
        <v>0.54</v>
      </c>
      <c r="J248" s="147">
        <v>0.23</v>
      </c>
      <c r="K248" s="147">
        <v>232</v>
      </c>
      <c r="L248" s="147">
        <v>0.18</v>
      </c>
      <c r="N248" s="176"/>
    </row>
    <row r="249" spans="1:14" ht="15.75" x14ac:dyDescent="0.25">
      <c r="A249" s="153"/>
      <c r="B249" s="17" t="s">
        <v>30</v>
      </c>
      <c r="C249" s="16">
        <v>32</v>
      </c>
      <c r="D249" s="15">
        <v>2.5299999999999998</v>
      </c>
      <c r="E249" s="19">
        <v>0.32</v>
      </c>
      <c r="F249" s="19">
        <f>C249*48.3/100</f>
        <v>15.456</v>
      </c>
      <c r="G249" s="19">
        <f>C249*235/100</f>
        <v>75.2</v>
      </c>
      <c r="H249" s="21">
        <v>0.05</v>
      </c>
      <c r="I249" s="21">
        <v>0</v>
      </c>
      <c r="J249" s="21">
        <v>0.02</v>
      </c>
      <c r="K249" s="21">
        <v>7.36</v>
      </c>
      <c r="L249" s="21">
        <v>0.64</v>
      </c>
    </row>
    <row r="250" spans="1:14" ht="15.75" x14ac:dyDescent="0.25">
      <c r="A250" s="153"/>
      <c r="B250" s="78" t="s">
        <v>270</v>
      </c>
      <c r="C250" s="80">
        <f t="shared" ref="C250:L250" si="29">SUM(C247:C249)</f>
        <v>332</v>
      </c>
      <c r="D250" s="80">
        <f t="shared" si="29"/>
        <v>9.11</v>
      </c>
      <c r="E250" s="80">
        <f t="shared" si="29"/>
        <v>10.99</v>
      </c>
      <c r="F250" s="80">
        <f t="shared" si="29"/>
        <v>31.456</v>
      </c>
      <c r="G250" s="80">
        <f t="shared" si="29"/>
        <v>262</v>
      </c>
      <c r="H250" s="80">
        <f t="shared" si="29"/>
        <v>0.14500000000000002</v>
      </c>
      <c r="I250" s="80">
        <f t="shared" si="29"/>
        <v>10.79</v>
      </c>
      <c r="J250" s="80">
        <f t="shared" si="29"/>
        <v>0.29300000000000004</v>
      </c>
      <c r="K250" s="80">
        <f t="shared" si="29"/>
        <v>262.56</v>
      </c>
      <c r="L250" s="80">
        <f t="shared" si="29"/>
        <v>1.67</v>
      </c>
    </row>
    <row r="251" spans="1:14" ht="15.75" x14ac:dyDescent="0.25">
      <c r="A251" s="41"/>
      <c r="B251" s="63" t="s">
        <v>196</v>
      </c>
      <c r="C251" s="84"/>
      <c r="D251" s="25">
        <f>D237+D245+D250</f>
        <v>44.296666666666667</v>
      </c>
      <c r="E251" s="25">
        <f>E237+E245+E250</f>
        <v>47.868000000000002</v>
      </c>
      <c r="F251" s="25">
        <f>F27+F245+F250</f>
        <v>124.486</v>
      </c>
      <c r="G251" s="25">
        <f>G237+G245+G250</f>
        <v>1309.7399999999998</v>
      </c>
      <c r="H251" s="25">
        <f>H237+H245+H250</f>
        <v>0.94733333333333347</v>
      </c>
      <c r="I251" s="25">
        <f>I237+I245+I250</f>
        <v>52.989999999999995</v>
      </c>
      <c r="J251" s="25">
        <f>J237+J245+J250</f>
        <v>1.2366666666666668</v>
      </c>
      <c r="K251" s="25">
        <f>K237+K245+K250</f>
        <v>775.97166666666658</v>
      </c>
      <c r="L251" s="25">
        <f>L237+L245+L250</f>
        <v>8.2255199999999995</v>
      </c>
    </row>
    <row r="252" spans="1:14" ht="15.75" x14ac:dyDescent="0.25">
      <c r="A252" s="43"/>
      <c r="B252" s="23"/>
      <c r="C252" s="8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4" ht="15.75" x14ac:dyDescent="0.25">
      <c r="A253" s="41"/>
      <c r="B253" s="211" t="s">
        <v>160</v>
      </c>
      <c r="C253" s="201"/>
      <c r="D253" s="201"/>
      <c r="E253" s="201"/>
      <c r="F253" s="201"/>
      <c r="G253" s="201"/>
      <c r="H253" s="201"/>
      <c r="I253" s="201"/>
      <c r="J253" s="201"/>
      <c r="K253" s="201"/>
      <c r="L253" s="201"/>
    </row>
    <row r="254" spans="1:14" ht="15.75" x14ac:dyDescent="0.25">
      <c r="A254" s="10"/>
      <c r="B254" s="205" t="s">
        <v>4</v>
      </c>
      <c r="C254" s="209" t="s">
        <v>5</v>
      </c>
      <c r="D254" s="208" t="s">
        <v>6</v>
      </c>
      <c r="E254" s="208"/>
      <c r="F254" s="208"/>
      <c r="G254" s="209" t="s">
        <v>7</v>
      </c>
      <c r="H254" s="208" t="s">
        <v>8</v>
      </c>
      <c r="I254" s="208"/>
      <c r="J254" s="208"/>
      <c r="K254" s="208" t="s">
        <v>9</v>
      </c>
      <c r="L254" s="208"/>
    </row>
    <row r="255" spans="1:14" ht="15.75" x14ac:dyDescent="0.25">
      <c r="A255" s="203" t="s">
        <v>3</v>
      </c>
      <c r="B255" s="205"/>
      <c r="C255" s="210"/>
      <c r="D255" s="52" t="s">
        <v>10</v>
      </c>
      <c r="E255" s="52" t="s">
        <v>11</v>
      </c>
      <c r="F255" s="52" t="s">
        <v>12</v>
      </c>
      <c r="G255" s="210"/>
      <c r="H255" s="52" t="s">
        <v>13</v>
      </c>
      <c r="I255" s="52" t="s">
        <v>14</v>
      </c>
      <c r="J255" s="52" t="s">
        <v>310</v>
      </c>
      <c r="K255" s="52" t="s">
        <v>17</v>
      </c>
      <c r="L255" s="52" t="s">
        <v>20</v>
      </c>
    </row>
    <row r="256" spans="1:14" ht="15.75" x14ac:dyDescent="0.25">
      <c r="A256" s="204"/>
      <c r="B256" s="7">
        <v>2</v>
      </c>
      <c r="C256" s="8">
        <v>3</v>
      </c>
      <c r="D256" s="8">
        <v>4</v>
      </c>
      <c r="E256" s="8">
        <v>5</v>
      </c>
      <c r="F256" s="8">
        <v>6</v>
      </c>
      <c r="G256" s="9">
        <v>7</v>
      </c>
      <c r="H256" s="8">
        <v>8</v>
      </c>
      <c r="I256" s="8">
        <v>9</v>
      </c>
      <c r="J256" s="8">
        <v>10</v>
      </c>
      <c r="K256" s="8">
        <v>12</v>
      </c>
      <c r="L256" s="8">
        <v>15</v>
      </c>
    </row>
    <row r="257" spans="1:14" ht="15.75" x14ac:dyDescent="0.25">
      <c r="A257" s="6">
        <v>1</v>
      </c>
      <c r="B257" s="54" t="s">
        <v>21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4" ht="15.75" x14ac:dyDescent="0.25">
      <c r="A258" s="43" t="s">
        <v>301</v>
      </c>
      <c r="B258" s="17" t="s">
        <v>300</v>
      </c>
      <c r="C258" s="14">
        <v>200</v>
      </c>
      <c r="D258" s="15">
        <v>4.3</v>
      </c>
      <c r="E258" s="15">
        <v>3.9</v>
      </c>
      <c r="F258" s="15">
        <v>14.2</v>
      </c>
      <c r="G258" s="15">
        <v>108.9</v>
      </c>
      <c r="H258" s="15">
        <v>6.8000000000000005E-2</v>
      </c>
      <c r="I258" s="18">
        <v>1.56</v>
      </c>
      <c r="J258" s="18">
        <v>0.18</v>
      </c>
      <c r="K258" s="18">
        <v>146.49</v>
      </c>
      <c r="L258" s="18">
        <v>0.26</v>
      </c>
    </row>
    <row r="259" spans="1:14" ht="15.75" x14ac:dyDescent="0.25">
      <c r="A259" s="12" t="s">
        <v>182</v>
      </c>
      <c r="B259" s="13" t="s">
        <v>25</v>
      </c>
      <c r="C259" s="16">
        <v>180</v>
      </c>
      <c r="D259" s="15">
        <v>2.85</v>
      </c>
      <c r="E259" s="15">
        <v>2.41</v>
      </c>
      <c r="F259" s="15">
        <v>14.36</v>
      </c>
      <c r="G259" s="15">
        <v>91</v>
      </c>
      <c r="H259" s="15">
        <v>0.04</v>
      </c>
      <c r="I259" s="15">
        <v>1.17</v>
      </c>
      <c r="J259" s="15">
        <v>0.14000000000000001</v>
      </c>
      <c r="K259" s="15">
        <v>113.2</v>
      </c>
      <c r="L259" s="15">
        <v>0.12</v>
      </c>
    </row>
    <row r="260" spans="1:14" ht="15.75" x14ac:dyDescent="0.25">
      <c r="A260" s="12"/>
      <c r="B260" s="17" t="s">
        <v>27</v>
      </c>
      <c r="C260" s="16">
        <v>5.6</v>
      </c>
      <c r="D260" s="15">
        <f>C260*0.04/4.8</f>
        <v>4.6666666666666662E-2</v>
      </c>
      <c r="E260" s="15">
        <f>C260*0.06/4.8</f>
        <v>6.9999999999999993E-2</v>
      </c>
      <c r="F260" s="15">
        <f>C260*41.28/4.8</f>
        <v>48.16</v>
      </c>
      <c r="G260" s="15">
        <f>C260*41.28/4.8</f>
        <v>48.16</v>
      </c>
      <c r="H260" s="18">
        <f>C260*0/4.8</f>
        <v>0</v>
      </c>
      <c r="I260" s="18">
        <f>C250*0/4.8</f>
        <v>0</v>
      </c>
      <c r="J260" s="18">
        <f>C260*0/4.8</f>
        <v>0</v>
      </c>
      <c r="K260" s="18">
        <f>C260*1.15/4.8</f>
        <v>1.3416666666666666</v>
      </c>
      <c r="L260" s="18">
        <f>C260*0/4.8</f>
        <v>0</v>
      </c>
    </row>
    <row r="261" spans="1:14" ht="15.75" x14ac:dyDescent="0.25">
      <c r="A261" s="12"/>
      <c r="B261" s="17" t="s">
        <v>30</v>
      </c>
      <c r="C261" s="16">
        <v>32</v>
      </c>
      <c r="D261" s="15">
        <v>2.5299999999999998</v>
      </c>
      <c r="E261" s="19">
        <v>0.32</v>
      </c>
      <c r="F261" s="19">
        <f>C261*48.3/100</f>
        <v>15.456</v>
      </c>
      <c r="G261" s="19">
        <f>C261*235/100</f>
        <v>75.2</v>
      </c>
      <c r="H261" s="21">
        <v>0.05</v>
      </c>
      <c r="I261" s="21">
        <v>0</v>
      </c>
      <c r="J261" s="21">
        <v>0.02</v>
      </c>
      <c r="K261" s="21">
        <v>7.36</v>
      </c>
      <c r="L261" s="21">
        <v>0.64</v>
      </c>
    </row>
    <row r="262" spans="1:14" ht="15.75" x14ac:dyDescent="0.25">
      <c r="A262" s="44"/>
      <c r="B262" s="17" t="s">
        <v>214</v>
      </c>
      <c r="C262" s="16">
        <v>80</v>
      </c>
      <c r="D262" s="19">
        <f>C262*1.5/100</f>
        <v>1.2</v>
      </c>
      <c r="E262" s="19">
        <f>C262*0.5/100</f>
        <v>0.4</v>
      </c>
      <c r="F262" s="19">
        <f>C262*21/100</f>
        <v>16.8</v>
      </c>
      <c r="G262" s="19">
        <f>C262*89.3/100</f>
        <v>71.44</v>
      </c>
      <c r="H262" s="20">
        <v>0.1</v>
      </c>
      <c r="I262" s="20">
        <f>C262*5/100</f>
        <v>4</v>
      </c>
      <c r="J262" s="20">
        <f>C262*0.1/100</f>
        <v>0.08</v>
      </c>
      <c r="K262" s="20">
        <v>17.12</v>
      </c>
      <c r="L262" s="20">
        <f>D262*0.6/100</f>
        <v>7.1999999999999998E-3</v>
      </c>
    </row>
    <row r="263" spans="1:14" ht="15.75" x14ac:dyDescent="0.25">
      <c r="A263" s="12"/>
      <c r="B263" s="78" t="s">
        <v>269</v>
      </c>
      <c r="C263" s="79">
        <f t="shared" ref="C263:L263" si="30">SUM(C258:C262)</f>
        <v>497.6</v>
      </c>
      <c r="D263" s="80">
        <f t="shared" si="30"/>
        <v>10.926666666666666</v>
      </c>
      <c r="E263" s="80">
        <f t="shared" si="30"/>
        <v>7.1000000000000014</v>
      </c>
      <c r="F263" s="80">
        <f t="shared" si="30"/>
        <v>108.976</v>
      </c>
      <c r="G263" s="80">
        <f t="shared" si="30"/>
        <v>394.7</v>
      </c>
      <c r="H263" s="80">
        <f t="shared" si="30"/>
        <v>0.25800000000000001</v>
      </c>
      <c r="I263" s="80">
        <f t="shared" si="30"/>
        <v>6.73</v>
      </c>
      <c r="J263" s="80">
        <f t="shared" si="30"/>
        <v>0.42000000000000004</v>
      </c>
      <c r="K263" s="80">
        <f t="shared" si="30"/>
        <v>285.51166666666666</v>
      </c>
      <c r="L263" s="80">
        <f t="shared" si="30"/>
        <v>1.0272000000000001</v>
      </c>
    </row>
    <row r="264" spans="1:14" ht="15.75" x14ac:dyDescent="0.25">
      <c r="A264" s="22"/>
      <c r="B264" s="2" t="s">
        <v>35</v>
      </c>
      <c r="C264" s="16"/>
      <c r="D264" s="16"/>
      <c r="E264" s="15"/>
      <c r="F264" s="16"/>
      <c r="G264" s="16"/>
      <c r="H264" s="16"/>
      <c r="I264" s="16"/>
      <c r="J264" s="16"/>
      <c r="K264" s="15"/>
      <c r="L264" s="16"/>
    </row>
    <row r="265" spans="1:14" ht="15.75" x14ac:dyDescent="0.25">
      <c r="A265" s="26" t="s">
        <v>303</v>
      </c>
      <c r="B265" s="45" t="s">
        <v>302</v>
      </c>
      <c r="C265" s="46">
        <v>200</v>
      </c>
      <c r="D265" s="47">
        <v>8.43</v>
      </c>
      <c r="E265" s="47">
        <v>3.9</v>
      </c>
      <c r="F265" s="47">
        <v>27.9</v>
      </c>
      <c r="G265" s="47">
        <v>162.30000000000001</v>
      </c>
      <c r="H265" s="15">
        <v>0.21</v>
      </c>
      <c r="I265" s="15">
        <v>20.420000000000002</v>
      </c>
      <c r="J265" s="15">
        <v>0.14000000000000001</v>
      </c>
      <c r="K265" s="15">
        <v>32.1</v>
      </c>
      <c r="L265" s="15">
        <v>0.28999999999999998</v>
      </c>
    </row>
    <row r="266" spans="1:14" ht="15.75" x14ac:dyDescent="0.25">
      <c r="A266" s="44" t="s">
        <v>208</v>
      </c>
      <c r="B266" s="17" t="s">
        <v>135</v>
      </c>
      <c r="C266" s="86">
        <v>150</v>
      </c>
      <c r="D266" s="157">
        <v>2.04</v>
      </c>
      <c r="E266" s="157">
        <v>3.2</v>
      </c>
      <c r="F266" s="157">
        <v>13.62</v>
      </c>
      <c r="G266" s="157">
        <v>97.5</v>
      </c>
      <c r="H266" s="158">
        <v>0.09</v>
      </c>
      <c r="I266" s="158">
        <v>12.1</v>
      </c>
      <c r="J266" s="158">
        <v>7.0000000000000007E-2</v>
      </c>
      <c r="K266" s="158">
        <v>24.65</v>
      </c>
      <c r="L266" s="158">
        <v>0.67</v>
      </c>
    </row>
    <row r="267" spans="1:14" ht="15.75" x14ac:dyDescent="0.25">
      <c r="A267" s="92" t="s">
        <v>305</v>
      </c>
      <c r="B267" s="13" t="s">
        <v>304</v>
      </c>
      <c r="C267" s="86">
        <v>80</v>
      </c>
      <c r="D267" s="157">
        <v>11.9</v>
      </c>
      <c r="E267" s="157">
        <v>8.8000000000000007</v>
      </c>
      <c r="F267" s="157">
        <v>11.64</v>
      </c>
      <c r="G267" s="157">
        <v>173</v>
      </c>
      <c r="H267" s="158">
        <v>7.0000000000000007E-2</v>
      </c>
      <c r="I267" s="158">
        <v>0</v>
      </c>
      <c r="J267" s="158">
        <v>0.11</v>
      </c>
      <c r="K267" s="158">
        <v>14</v>
      </c>
      <c r="L267" s="158">
        <v>1.1000000000000001</v>
      </c>
      <c r="N267" s="133"/>
    </row>
    <row r="268" spans="1:14" ht="15.75" x14ac:dyDescent="0.25">
      <c r="A268" s="12" t="s">
        <v>84</v>
      </c>
      <c r="B268" s="13" t="s">
        <v>235</v>
      </c>
      <c r="C268" s="86">
        <v>180</v>
      </c>
      <c r="D268" s="147">
        <v>0.39</v>
      </c>
      <c r="E268" s="147">
        <v>1.7999999999999999E-2</v>
      </c>
      <c r="F268" s="147">
        <v>24.9</v>
      </c>
      <c r="G268" s="147">
        <v>101.7</v>
      </c>
      <c r="H268" s="147">
        <v>1E-3</v>
      </c>
      <c r="I268" s="147">
        <v>0.36</v>
      </c>
      <c r="J268" s="147">
        <v>5.0000000000000001E-3</v>
      </c>
      <c r="K268" s="147">
        <v>28.6</v>
      </c>
      <c r="L268" s="147">
        <v>1.1200000000000001</v>
      </c>
      <c r="N268" s="133"/>
    </row>
    <row r="269" spans="1:14" ht="15.75" x14ac:dyDescent="0.25">
      <c r="A269" s="40"/>
      <c r="B269" s="13" t="s">
        <v>46</v>
      </c>
      <c r="C269" s="16">
        <v>40</v>
      </c>
      <c r="D269" s="15">
        <v>3.4</v>
      </c>
      <c r="E269" s="19">
        <v>1.32</v>
      </c>
      <c r="F269" s="19">
        <v>17</v>
      </c>
      <c r="G269" s="19">
        <v>103.6</v>
      </c>
      <c r="H269" s="21">
        <v>0.17</v>
      </c>
      <c r="I269" s="21">
        <v>0.16</v>
      </c>
      <c r="J269" s="21">
        <v>0.13</v>
      </c>
      <c r="K269" s="21">
        <v>13.2</v>
      </c>
      <c r="L269" s="21">
        <v>0.05</v>
      </c>
      <c r="N269" s="133"/>
    </row>
    <row r="270" spans="1:14" ht="15.75" x14ac:dyDescent="0.25">
      <c r="A270" s="40"/>
      <c r="B270" s="78" t="s">
        <v>271</v>
      </c>
      <c r="C270" s="79">
        <f t="shared" ref="C270:L270" si="31">SUM(C265:C269)</f>
        <v>650</v>
      </c>
      <c r="D270" s="80">
        <f t="shared" si="31"/>
        <v>26.159999999999997</v>
      </c>
      <c r="E270" s="80">
        <f t="shared" si="31"/>
        <v>17.238</v>
      </c>
      <c r="F270" s="80">
        <f t="shared" si="31"/>
        <v>95.06</v>
      </c>
      <c r="G270" s="80">
        <f t="shared" si="31"/>
        <v>638.1</v>
      </c>
      <c r="H270" s="80">
        <f t="shared" si="31"/>
        <v>0.54100000000000004</v>
      </c>
      <c r="I270" s="80">
        <f t="shared" si="31"/>
        <v>33.04</v>
      </c>
      <c r="J270" s="80">
        <f t="shared" si="31"/>
        <v>0.45500000000000002</v>
      </c>
      <c r="K270" s="80">
        <f t="shared" si="31"/>
        <v>112.55</v>
      </c>
      <c r="L270" s="80">
        <f t="shared" si="31"/>
        <v>3.23</v>
      </c>
      <c r="N270" s="133"/>
    </row>
    <row r="271" spans="1:14" ht="15.75" x14ac:dyDescent="0.25">
      <c r="A271" s="153"/>
      <c r="B271" s="54" t="s">
        <v>178</v>
      </c>
      <c r="C271" s="86"/>
      <c r="D271" s="147"/>
      <c r="E271" s="147"/>
      <c r="F271" s="147"/>
      <c r="G271" s="147"/>
      <c r="H271" s="147"/>
      <c r="I271" s="147"/>
      <c r="J271" s="147"/>
      <c r="K271" s="147"/>
      <c r="L271" s="147"/>
      <c r="N271" s="133"/>
    </row>
    <row r="272" spans="1:14" ht="15.75" x14ac:dyDescent="0.25">
      <c r="A272" s="51" t="s">
        <v>60</v>
      </c>
      <c r="B272" s="13" t="s">
        <v>210</v>
      </c>
      <c r="C272" s="86">
        <v>150</v>
      </c>
      <c r="D272" s="147">
        <v>26.84</v>
      </c>
      <c r="E272" s="147">
        <v>24.8</v>
      </c>
      <c r="F272" s="147">
        <v>65.73</v>
      </c>
      <c r="G272" s="147">
        <v>311.52999999999997</v>
      </c>
      <c r="H272" s="147">
        <v>0.15</v>
      </c>
      <c r="I272" s="147">
        <v>0.25</v>
      </c>
      <c r="J272" s="147">
        <v>0.33</v>
      </c>
      <c r="K272" s="147">
        <v>180.4</v>
      </c>
      <c r="L272" s="147">
        <v>2</v>
      </c>
      <c r="N272" s="133"/>
    </row>
    <row r="273" spans="1:15" ht="15.75" x14ac:dyDescent="0.25">
      <c r="A273" s="40" t="s">
        <v>220</v>
      </c>
      <c r="B273" s="13" t="s">
        <v>221</v>
      </c>
      <c r="C273" s="86">
        <v>180</v>
      </c>
      <c r="D273" s="147">
        <v>0.75</v>
      </c>
      <c r="E273" s="147">
        <v>0</v>
      </c>
      <c r="F273" s="147">
        <v>15.15</v>
      </c>
      <c r="G273" s="147">
        <v>64</v>
      </c>
      <c r="H273" s="147">
        <v>0.02</v>
      </c>
      <c r="I273" s="147">
        <v>3</v>
      </c>
      <c r="J273" s="147">
        <v>0.02</v>
      </c>
      <c r="K273" s="147">
        <v>10.5</v>
      </c>
      <c r="L273" s="147">
        <v>2.1</v>
      </c>
      <c r="N273" s="133"/>
    </row>
    <row r="274" spans="1:15" ht="15.75" x14ac:dyDescent="0.25">
      <c r="A274" s="153"/>
      <c r="B274" s="13" t="s">
        <v>30</v>
      </c>
      <c r="C274" s="16">
        <v>32</v>
      </c>
      <c r="D274" s="15">
        <v>2.5299999999999998</v>
      </c>
      <c r="E274" s="19">
        <v>0.32</v>
      </c>
      <c r="F274" s="19">
        <f>C274*48.3/100</f>
        <v>15.456</v>
      </c>
      <c r="G274" s="19">
        <f>C274*235/100</f>
        <v>75.2</v>
      </c>
      <c r="H274" s="21">
        <v>0.05</v>
      </c>
      <c r="I274" s="21">
        <v>0</v>
      </c>
      <c r="J274" s="21">
        <v>0.02</v>
      </c>
      <c r="K274" s="21">
        <v>7.36</v>
      </c>
      <c r="L274" s="21">
        <v>0.64</v>
      </c>
      <c r="N274" s="133"/>
    </row>
    <row r="275" spans="1:15" ht="15.75" x14ac:dyDescent="0.25">
      <c r="A275" s="153"/>
      <c r="B275" s="78" t="s">
        <v>270</v>
      </c>
      <c r="C275" s="79">
        <f t="shared" ref="C275:L275" si="32">SUM(C272:C274)</f>
        <v>362</v>
      </c>
      <c r="D275" s="80">
        <f t="shared" si="32"/>
        <v>30.12</v>
      </c>
      <c r="E275" s="80">
        <f t="shared" si="32"/>
        <v>25.12</v>
      </c>
      <c r="F275" s="80">
        <f t="shared" si="32"/>
        <v>96.336000000000013</v>
      </c>
      <c r="G275" s="80">
        <f t="shared" si="32"/>
        <v>450.72999999999996</v>
      </c>
      <c r="H275" s="80">
        <f t="shared" si="32"/>
        <v>0.21999999999999997</v>
      </c>
      <c r="I275" s="80">
        <f t="shared" si="32"/>
        <v>3.25</v>
      </c>
      <c r="J275" s="80">
        <f t="shared" si="32"/>
        <v>0.37000000000000005</v>
      </c>
      <c r="K275" s="80">
        <f t="shared" si="32"/>
        <v>198.26000000000002</v>
      </c>
      <c r="L275" s="80">
        <f t="shared" si="32"/>
        <v>4.7399999999999993</v>
      </c>
      <c r="N275" s="175"/>
      <c r="O275" s="176"/>
    </row>
    <row r="276" spans="1:15" ht="15.75" x14ac:dyDescent="0.25">
      <c r="A276" s="41"/>
      <c r="B276" s="174" t="s">
        <v>196</v>
      </c>
      <c r="C276" s="79"/>
      <c r="D276" s="80">
        <f t="shared" ref="D276:L276" si="33">D263+D270+D275</f>
        <v>67.206666666666663</v>
      </c>
      <c r="E276" s="80">
        <f t="shared" si="33"/>
        <v>49.457999999999998</v>
      </c>
      <c r="F276" s="80">
        <f t="shared" si="33"/>
        <v>300.37200000000001</v>
      </c>
      <c r="G276" s="80">
        <f t="shared" si="33"/>
        <v>1483.53</v>
      </c>
      <c r="H276" s="80">
        <f t="shared" si="33"/>
        <v>1.0190000000000001</v>
      </c>
      <c r="I276" s="80">
        <f t="shared" si="33"/>
        <v>43.019999999999996</v>
      </c>
      <c r="J276" s="80">
        <f t="shared" si="33"/>
        <v>1.2450000000000001</v>
      </c>
      <c r="K276" s="80">
        <f t="shared" si="33"/>
        <v>596.32166666666672</v>
      </c>
      <c r="L276" s="80">
        <f t="shared" si="33"/>
        <v>8.9971999999999994</v>
      </c>
      <c r="N276" s="177"/>
      <c r="O276" s="178"/>
    </row>
    <row r="277" spans="1:15" ht="15.75" x14ac:dyDescent="0.25">
      <c r="A277" s="43"/>
      <c r="B277" s="94"/>
      <c r="C277" s="94"/>
      <c r="D277" s="95"/>
      <c r="E277" s="94"/>
      <c r="F277" s="94"/>
      <c r="G277" s="94"/>
      <c r="H277" s="94"/>
      <c r="I277" s="94"/>
      <c r="J277" s="94"/>
      <c r="K277" s="94"/>
      <c r="L277" s="94"/>
      <c r="N277" s="176"/>
      <c r="O277" s="176"/>
    </row>
    <row r="278" spans="1:15" ht="15.75" x14ac:dyDescent="0.25">
      <c r="A278" s="93"/>
      <c r="B278" s="151" t="s">
        <v>311</v>
      </c>
      <c r="C278" s="96"/>
      <c r="D278" s="97">
        <f>D29+D56+D84+D108+D136</f>
        <v>267.70400000000001</v>
      </c>
      <c r="E278" s="97">
        <f>E29+E56+E84+E108+E136</f>
        <v>238.39499999999998</v>
      </c>
      <c r="F278" s="97">
        <f>F29+F56+F84+F108+F136</f>
        <v>1227.4739999999999</v>
      </c>
      <c r="G278" s="97">
        <f>G29+G56+G84+G108+G136</f>
        <v>7199.44</v>
      </c>
      <c r="H278" s="97">
        <f>H29+H56+H84+H108+H136</f>
        <v>4.2918666666666674</v>
      </c>
      <c r="I278" s="97">
        <f>I29+I56+I84+I108+I136</f>
        <v>496.87020000000001</v>
      </c>
      <c r="J278" s="97">
        <f>J29+J56+J84+J108+J136</f>
        <v>5.6443333333333339</v>
      </c>
      <c r="K278" s="97">
        <f>K29+K56+K84+K108+K136</f>
        <v>2903.9930000000004</v>
      </c>
      <c r="L278" s="97">
        <f>L29+L56+L84+L108+L136</f>
        <v>45.391368</v>
      </c>
    </row>
    <row r="279" spans="1:15" ht="15.75" x14ac:dyDescent="0.25">
      <c r="A279" s="93"/>
      <c r="B279" s="98" t="s">
        <v>312</v>
      </c>
      <c r="C279" s="99"/>
      <c r="D279" s="100">
        <f>D169+D197+D224+D251+D276</f>
        <v>268.75333333333333</v>
      </c>
      <c r="E279" s="100">
        <f>E169+E197+E224+E251+E276</f>
        <v>268.77800000000002</v>
      </c>
      <c r="F279" s="100">
        <f>F169+F197+F224+F251+F276</f>
        <v>1115.1179999999999</v>
      </c>
      <c r="G279" s="100">
        <f>G169+G197+G224+G251+G276</f>
        <v>7346.4999999999991</v>
      </c>
      <c r="H279" s="100">
        <f>H169+H197+H224+H251+H276</f>
        <v>4.7616666666666667</v>
      </c>
      <c r="I279" s="100">
        <f>I169+I197+I224+I251+I276</f>
        <v>320.85120000000001</v>
      </c>
      <c r="J279" s="100">
        <f>J169+J197+J224+J251+J276</f>
        <v>6.6103333333333341</v>
      </c>
      <c r="K279" s="100">
        <f>K169+K197+K224+K251+K276</f>
        <v>3101.3613333333333</v>
      </c>
      <c r="L279" s="100">
        <f>L169+L197+L224+L251+L276</f>
        <v>45.719552</v>
      </c>
    </row>
    <row r="280" spans="1:15" ht="15.75" x14ac:dyDescent="0.25">
      <c r="A280" s="93"/>
      <c r="B280" s="225" t="s">
        <v>313</v>
      </c>
      <c r="C280" s="226"/>
      <c r="D280" s="227">
        <f>SUM(D278:D279)</f>
        <v>536.45733333333328</v>
      </c>
      <c r="E280" s="227">
        <f>SUM(E278:E279)</f>
        <v>507.173</v>
      </c>
      <c r="F280" s="227">
        <f>SUM(F278:F279)</f>
        <v>2342.5919999999996</v>
      </c>
      <c r="G280" s="227">
        <f>SUM(G278:G279)</f>
        <v>14545.939999999999</v>
      </c>
      <c r="H280" s="227">
        <f>SUM(H278:H279)</f>
        <v>9.0535333333333341</v>
      </c>
      <c r="I280" s="227">
        <f>SUM(I278:I279)</f>
        <v>817.72140000000002</v>
      </c>
      <c r="J280" s="227">
        <f>SUM(J278:J279)</f>
        <v>12.254666666666669</v>
      </c>
      <c r="K280" s="227">
        <f>SUM(K278:K279)</f>
        <v>6005.3543333333337</v>
      </c>
      <c r="L280" s="227">
        <f>SUM(L278:L279)</f>
        <v>91.110919999999993</v>
      </c>
    </row>
    <row r="281" spans="1:15" ht="15.75" x14ac:dyDescent="0.25">
      <c r="A281" s="93"/>
      <c r="B281" s="163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1:15" ht="15.75" x14ac:dyDescent="0.25">
      <c r="A282" s="93"/>
      <c r="B282" s="163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1:15" ht="15.75" x14ac:dyDescent="0.25">
      <c r="A283" s="93"/>
      <c r="B283" s="164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1:15" x14ac:dyDescent="0.25">
      <c r="A284" s="93"/>
      <c r="B284" s="93"/>
      <c r="C284" s="179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1:15" ht="15.75" x14ac:dyDescent="0.25">
      <c r="A285" s="93"/>
      <c r="B285" s="14"/>
      <c r="C285" s="179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1:15" x14ac:dyDescent="0.25">
      <c r="A286" s="93"/>
      <c r="B286" s="107"/>
      <c r="C286" s="93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1:15" x14ac:dyDescent="0.25">
      <c r="A287" s="93"/>
      <c r="B287" s="107"/>
      <c r="C287" s="93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1:15" x14ac:dyDescent="0.25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1:12" x14ac:dyDescent="0.2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1:12" x14ac:dyDescent="0.25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1:12" x14ac:dyDescent="0.25">
      <c r="A291" s="93"/>
    </row>
    <row r="293" spans="1:12" x14ac:dyDescent="0.25">
      <c r="F293" s="96" t="s">
        <v>171</v>
      </c>
      <c r="G293" s="111">
        <v>1410</v>
      </c>
    </row>
  </sheetData>
  <mergeCells count="89">
    <mergeCell ref="B253:L253"/>
    <mergeCell ref="A255:A256"/>
    <mergeCell ref="B254:B255"/>
    <mergeCell ref="C254:C255"/>
    <mergeCell ref="D254:F254"/>
    <mergeCell ref="G254:G255"/>
    <mergeCell ref="H254:J254"/>
    <mergeCell ref="K254:L254"/>
    <mergeCell ref="B225:C225"/>
    <mergeCell ref="B226:L226"/>
    <mergeCell ref="A228:A229"/>
    <mergeCell ref="B227:B228"/>
    <mergeCell ref="C227:C228"/>
    <mergeCell ref="D227:F227"/>
    <mergeCell ref="G227:G228"/>
    <mergeCell ref="H227:J227"/>
    <mergeCell ref="K227:L227"/>
    <mergeCell ref="B199:L199"/>
    <mergeCell ref="A201:A202"/>
    <mergeCell ref="B200:B201"/>
    <mergeCell ref="C200:C201"/>
    <mergeCell ref="D200:F200"/>
    <mergeCell ref="G200:G201"/>
    <mergeCell ref="H200:J200"/>
    <mergeCell ref="K200:L200"/>
    <mergeCell ref="B170:C170"/>
    <mergeCell ref="B171:L171"/>
    <mergeCell ref="A173:A174"/>
    <mergeCell ref="B172:B173"/>
    <mergeCell ref="C172:C173"/>
    <mergeCell ref="D172:F172"/>
    <mergeCell ref="G172:G173"/>
    <mergeCell ref="H172:J172"/>
    <mergeCell ref="K172:L172"/>
    <mergeCell ref="H111:J111"/>
    <mergeCell ref="K111:L111"/>
    <mergeCell ref="A147:A148"/>
    <mergeCell ref="B146:B147"/>
    <mergeCell ref="C146:C147"/>
    <mergeCell ref="D146:F146"/>
    <mergeCell ref="G146:G147"/>
    <mergeCell ref="H146:J146"/>
    <mergeCell ref="K146:L146"/>
    <mergeCell ref="B145:L145"/>
    <mergeCell ref="A112:A113"/>
    <mergeCell ref="B111:B112"/>
    <mergeCell ref="C111:C112"/>
    <mergeCell ref="D111:F111"/>
    <mergeCell ref="G111:G112"/>
    <mergeCell ref="H86:J86"/>
    <mergeCell ref="K86:L86"/>
    <mergeCell ref="B108:C108"/>
    <mergeCell ref="B109:C109"/>
    <mergeCell ref="B110:L110"/>
    <mergeCell ref="A87:A88"/>
    <mergeCell ref="B86:B87"/>
    <mergeCell ref="C86:C87"/>
    <mergeCell ref="D86:F86"/>
    <mergeCell ref="G86:G87"/>
    <mergeCell ref="H59:J59"/>
    <mergeCell ref="K59:L59"/>
    <mergeCell ref="B58:K58"/>
    <mergeCell ref="B84:C84"/>
    <mergeCell ref="B85:L85"/>
    <mergeCell ref="A60:A61"/>
    <mergeCell ref="B59:B60"/>
    <mergeCell ref="C59:C60"/>
    <mergeCell ref="D59:F59"/>
    <mergeCell ref="G59:G60"/>
    <mergeCell ref="A33:A34"/>
    <mergeCell ref="B32:B33"/>
    <mergeCell ref="C32:C33"/>
    <mergeCell ref="D32:F32"/>
    <mergeCell ref="G32:G33"/>
    <mergeCell ref="K5:L5"/>
    <mergeCell ref="H32:J32"/>
    <mergeCell ref="K32:L32"/>
    <mergeCell ref="A31:K31"/>
    <mergeCell ref="A1:A4"/>
    <mergeCell ref="B1:D1"/>
    <mergeCell ref="B2:D2"/>
    <mergeCell ref="B3:D3"/>
    <mergeCell ref="B4:L4"/>
    <mergeCell ref="A5:A6"/>
    <mergeCell ref="B5:B6"/>
    <mergeCell ref="C5:C6"/>
    <mergeCell ref="D5:F5"/>
    <mergeCell ref="G5:G6"/>
    <mergeCell ref="H5:J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topLeftCell="A211" workbookViewId="0">
      <selection activeCell="D230" sqref="D230"/>
    </sheetView>
  </sheetViews>
  <sheetFormatPr defaultRowHeight="15" x14ac:dyDescent="0.25"/>
  <cols>
    <col min="2" max="2" width="31.7109375" customWidth="1"/>
  </cols>
  <sheetData>
    <row r="1" spans="1:15" ht="15.75" x14ac:dyDescent="0.25">
      <c r="A1" s="194"/>
      <c r="B1" s="197" t="s">
        <v>0</v>
      </c>
      <c r="C1" s="198"/>
      <c r="D1" s="198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75" x14ac:dyDescent="0.25">
      <c r="A2" s="195"/>
      <c r="B2" s="197" t="s">
        <v>1</v>
      </c>
      <c r="C2" s="198"/>
      <c r="D2" s="198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.75" x14ac:dyDescent="0.25">
      <c r="A3" s="195"/>
      <c r="B3" s="199" t="s">
        <v>172</v>
      </c>
      <c r="C3" s="200"/>
      <c r="D3" s="200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5.75" x14ac:dyDescent="0.25">
      <c r="A4" s="196"/>
      <c r="B4" s="201" t="s">
        <v>2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5" ht="15.75" x14ac:dyDescent="0.25">
      <c r="A5" s="203" t="s">
        <v>3</v>
      </c>
      <c r="B5" s="205" t="s">
        <v>4</v>
      </c>
      <c r="C5" s="206" t="s">
        <v>5</v>
      </c>
      <c r="D5" s="208" t="s">
        <v>6</v>
      </c>
      <c r="E5" s="208"/>
      <c r="F5" s="208"/>
      <c r="G5" s="209" t="s">
        <v>7</v>
      </c>
      <c r="H5" s="208" t="s">
        <v>8</v>
      </c>
      <c r="I5" s="208"/>
      <c r="J5" s="208"/>
      <c r="K5" s="208"/>
      <c r="L5" s="208" t="s">
        <v>9</v>
      </c>
      <c r="M5" s="208"/>
      <c r="N5" s="208"/>
      <c r="O5" s="208"/>
    </row>
    <row r="6" spans="1:15" ht="15.75" x14ac:dyDescent="0.25">
      <c r="A6" s="204"/>
      <c r="B6" s="205"/>
      <c r="C6" s="207"/>
      <c r="D6" s="5" t="s">
        <v>10</v>
      </c>
      <c r="E6" s="5" t="s">
        <v>11</v>
      </c>
      <c r="F6" s="5" t="s">
        <v>12</v>
      </c>
      <c r="G6" s="210"/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</row>
    <row r="7" spans="1:15" ht="15.75" x14ac:dyDescent="0.25">
      <c r="A7" s="6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</row>
    <row r="8" spans="1:15" ht="15.75" x14ac:dyDescent="0.25">
      <c r="A8" s="10"/>
      <c r="B8" s="11" t="s">
        <v>21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x14ac:dyDescent="0.25">
      <c r="A9" s="12" t="s">
        <v>22</v>
      </c>
      <c r="B9" s="13" t="s">
        <v>23</v>
      </c>
      <c r="C9" s="14">
        <v>205</v>
      </c>
      <c r="D9" s="15">
        <f>C9*6.2/205</f>
        <v>6.2</v>
      </c>
      <c r="E9" s="15">
        <f>C9*8.05/205</f>
        <v>8.0500000000000007</v>
      </c>
      <c r="F9" s="15">
        <f>C9*31.09/205</f>
        <v>31.09</v>
      </c>
      <c r="G9" s="15">
        <f>C9*222.02/205</f>
        <v>222.01999999999998</v>
      </c>
      <c r="H9" s="15">
        <f>C9*0.05/205</f>
        <v>0.05</v>
      </c>
      <c r="I9" s="15">
        <f>C9*0.3/205</f>
        <v>0.3</v>
      </c>
      <c r="J9" s="15">
        <f>C9*0.01/205</f>
        <v>9.9999999999999985E-3</v>
      </c>
      <c r="K9" s="15">
        <f>C9*0.52/205</f>
        <v>0.52</v>
      </c>
      <c r="L9" s="15">
        <v>122.6</v>
      </c>
      <c r="M9" s="15">
        <f>C9*96.53/205</f>
        <v>96.53</v>
      </c>
      <c r="N9" s="15">
        <f>C9*15.43/205</f>
        <v>15.43</v>
      </c>
      <c r="O9" s="15">
        <f>C9*0.37/205</f>
        <v>0.37</v>
      </c>
    </row>
    <row r="10" spans="1:15" ht="15.75" x14ac:dyDescent="0.25">
      <c r="A10" s="12" t="s">
        <v>24</v>
      </c>
      <c r="B10" s="13" t="s">
        <v>25</v>
      </c>
      <c r="C10" s="16">
        <v>200</v>
      </c>
      <c r="D10" s="15">
        <v>2.79</v>
      </c>
      <c r="E10" s="15">
        <v>3.19</v>
      </c>
      <c r="F10" s="15">
        <v>19.71</v>
      </c>
      <c r="G10" s="15">
        <v>118.69</v>
      </c>
      <c r="H10" s="15">
        <v>0.03</v>
      </c>
      <c r="I10" s="15">
        <v>1</v>
      </c>
      <c r="J10" s="15">
        <v>0.02</v>
      </c>
      <c r="K10" s="15">
        <v>0.05</v>
      </c>
      <c r="L10" s="15">
        <v>141.30000000000001</v>
      </c>
      <c r="M10" s="15">
        <v>91</v>
      </c>
      <c r="N10" s="15">
        <v>14</v>
      </c>
      <c r="O10" s="15">
        <v>0.14000000000000001</v>
      </c>
    </row>
    <row r="11" spans="1:15" ht="15.75" x14ac:dyDescent="0.25">
      <c r="A11" s="12" t="s">
        <v>26</v>
      </c>
      <c r="B11" s="17" t="s">
        <v>27</v>
      </c>
      <c r="C11" s="16">
        <v>10</v>
      </c>
      <c r="D11" s="15">
        <f>C11*0.1/10</f>
        <v>0.1</v>
      </c>
      <c r="E11" s="15">
        <f>C11*7.2/10</f>
        <v>7.2</v>
      </c>
      <c r="F11" s="15">
        <f>C11*0.1/10</f>
        <v>0.1</v>
      </c>
      <c r="G11" s="15">
        <f>C11*66/10</f>
        <v>66</v>
      </c>
      <c r="H11" s="18">
        <v>0</v>
      </c>
      <c r="I11" s="18">
        <f>C11*0.28/10</f>
        <v>0.28000000000000003</v>
      </c>
      <c r="J11" s="18">
        <v>0</v>
      </c>
      <c r="K11" s="18">
        <f>C11*0.1/10</f>
        <v>0.1</v>
      </c>
      <c r="L11" s="18">
        <f>C11*2.2/10</f>
        <v>2.2000000000000002</v>
      </c>
      <c r="M11" s="18">
        <f>C11*1.9/10</f>
        <v>1.9</v>
      </c>
      <c r="N11" s="18">
        <f>C11*0.3/10</f>
        <v>0.3</v>
      </c>
      <c r="O11" s="18">
        <f>C11*0.02/10</f>
        <v>0.02</v>
      </c>
    </row>
    <row r="12" spans="1:15" ht="15.75" x14ac:dyDescent="0.25">
      <c r="A12" s="12" t="s">
        <v>28</v>
      </c>
      <c r="B12" s="17" t="s">
        <v>29</v>
      </c>
      <c r="C12" s="14">
        <v>15</v>
      </c>
      <c r="D12" s="15">
        <f>C12*6.96/30</f>
        <v>3.48</v>
      </c>
      <c r="E12" s="19">
        <f>C12*8.85/30</f>
        <v>4.4249999999999998</v>
      </c>
      <c r="F12" s="19">
        <v>0</v>
      </c>
      <c r="G12" s="19">
        <f>C12*109.2/30</f>
        <v>54.6</v>
      </c>
      <c r="H12" s="20">
        <f>C12*0.01/30</f>
        <v>5.0000000000000001E-3</v>
      </c>
      <c r="I12" s="20">
        <f>C12*0.48/30</f>
        <v>0.23999999999999996</v>
      </c>
      <c r="J12" s="20">
        <f>C12*0.08/30</f>
        <v>0.04</v>
      </c>
      <c r="K12" s="20">
        <f>C12*0.12/30</f>
        <v>5.9999999999999991E-2</v>
      </c>
      <c r="L12" s="20">
        <f>C12*300/30</f>
        <v>150</v>
      </c>
      <c r="M12" s="20">
        <f>C12*162/30</f>
        <v>81</v>
      </c>
      <c r="N12" s="20">
        <f>C12*15/30</f>
        <v>7.5</v>
      </c>
      <c r="O12" s="20">
        <f>C12*0.33/30</f>
        <v>0.16500000000000001</v>
      </c>
    </row>
    <row r="13" spans="1:15" ht="15.75" x14ac:dyDescent="0.25">
      <c r="A13" s="12"/>
      <c r="B13" s="17" t="s">
        <v>30</v>
      </c>
      <c r="C13" s="16">
        <v>60</v>
      </c>
      <c r="D13" s="15">
        <f>C13*6.9/100</f>
        <v>4.1399999999999997</v>
      </c>
      <c r="E13" s="19">
        <f>1*C13/100</f>
        <v>0.6</v>
      </c>
      <c r="F13" s="19">
        <f>C13*48.3/100</f>
        <v>28.98</v>
      </c>
      <c r="G13" s="19">
        <f>C13*235/100</f>
        <v>141</v>
      </c>
      <c r="H13" s="21">
        <f>C13*0.16/100</f>
        <v>9.6000000000000002E-2</v>
      </c>
      <c r="I13" s="21">
        <v>0</v>
      </c>
      <c r="J13" s="21">
        <v>0</v>
      </c>
      <c r="K13" s="21">
        <f>C13*1.3/100</f>
        <v>0.78</v>
      </c>
      <c r="L13" s="21">
        <f>C13*23/100</f>
        <v>13.8</v>
      </c>
      <c r="M13" s="21">
        <f>C13*87/100</f>
        <v>52.2</v>
      </c>
      <c r="N13" s="21">
        <f>C13*33/100</f>
        <v>19.8</v>
      </c>
      <c r="O13" s="21">
        <f>C13*2/100</f>
        <v>1.2</v>
      </c>
    </row>
    <row r="14" spans="1:15" ht="15.75" x14ac:dyDescent="0.25">
      <c r="A14" s="12" t="s">
        <v>31</v>
      </c>
      <c r="B14" s="17" t="s">
        <v>32</v>
      </c>
      <c r="C14" s="16">
        <v>200</v>
      </c>
      <c r="D14" s="15">
        <v>2</v>
      </c>
      <c r="E14" s="15">
        <v>0.2</v>
      </c>
      <c r="F14" s="15">
        <v>5.8</v>
      </c>
      <c r="G14" s="15">
        <v>36</v>
      </c>
      <c r="H14" s="15">
        <v>0.04</v>
      </c>
      <c r="I14" s="15">
        <v>8</v>
      </c>
      <c r="J14" s="15">
        <v>0.01</v>
      </c>
      <c r="K14" s="15">
        <v>0.2</v>
      </c>
      <c r="L14" s="15">
        <v>40</v>
      </c>
      <c r="M14" s="15">
        <v>36</v>
      </c>
      <c r="N14" s="15">
        <v>20</v>
      </c>
      <c r="O14" s="15">
        <v>0.4</v>
      </c>
    </row>
    <row r="15" spans="1:15" ht="15.75" x14ac:dyDescent="0.25">
      <c r="A15" s="12"/>
      <c r="B15" s="17" t="s">
        <v>33</v>
      </c>
      <c r="C15" s="16">
        <v>100</v>
      </c>
      <c r="D15" s="19">
        <f>C15*1.5/100</f>
        <v>1.5</v>
      </c>
      <c r="E15" s="19">
        <f>C15*0.5/100</f>
        <v>0.5</v>
      </c>
      <c r="F15" s="19">
        <f>C15*21/100</f>
        <v>21</v>
      </c>
      <c r="G15" s="19">
        <f>C15*89.3/100</f>
        <v>89.3</v>
      </c>
      <c r="H15" s="20">
        <v>0.1</v>
      </c>
      <c r="I15" s="20">
        <f>C15*5/100</f>
        <v>5</v>
      </c>
      <c r="J15" s="20">
        <f>C15*0.1/100</f>
        <v>0.1</v>
      </c>
      <c r="K15" s="20">
        <f>C15*0.2/100</f>
        <v>0.2</v>
      </c>
      <c r="L15" s="20">
        <f>C15*8/100</f>
        <v>8</v>
      </c>
      <c r="M15" s="20">
        <f>C15*28/100</f>
        <v>28</v>
      </c>
      <c r="N15" s="20">
        <f>C15*22/100</f>
        <v>22</v>
      </c>
      <c r="O15" s="20">
        <f>C15*0.6/100</f>
        <v>0.6</v>
      </c>
    </row>
    <row r="16" spans="1:15" ht="15.75" x14ac:dyDescent="0.25">
      <c r="A16" s="22"/>
      <c r="B16" s="59" t="s">
        <v>34</v>
      </c>
      <c r="C16" s="31">
        <f t="shared" ref="C16:O16" si="0">SUM(C9:C15)</f>
        <v>790</v>
      </c>
      <c r="D16" s="32">
        <f t="shared" si="0"/>
        <v>20.21</v>
      </c>
      <c r="E16" s="32">
        <f t="shared" si="0"/>
        <v>24.165000000000003</v>
      </c>
      <c r="F16" s="32">
        <f t="shared" si="0"/>
        <v>106.67999999999999</v>
      </c>
      <c r="G16" s="32">
        <f t="shared" si="0"/>
        <v>727.6099999999999</v>
      </c>
      <c r="H16" s="32">
        <f t="shared" si="0"/>
        <v>0.32100000000000001</v>
      </c>
      <c r="I16" s="32">
        <f t="shared" si="0"/>
        <v>14.82</v>
      </c>
      <c r="J16" s="32">
        <f t="shared" si="0"/>
        <v>0.18</v>
      </c>
      <c r="K16" s="32">
        <f t="shared" si="0"/>
        <v>1.91</v>
      </c>
      <c r="L16" s="32">
        <f t="shared" si="0"/>
        <v>477.9</v>
      </c>
      <c r="M16" s="32">
        <f t="shared" si="0"/>
        <v>386.63</v>
      </c>
      <c r="N16" s="32">
        <f t="shared" si="0"/>
        <v>99.03</v>
      </c>
      <c r="O16" s="32">
        <f t="shared" si="0"/>
        <v>2.895</v>
      </c>
    </row>
    <row r="17" spans="1:15" ht="15.75" x14ac:dyDescent="0.25">
      <c r="A17" s="26"/>
      <c r="B17" s="2" t="s">
        <v>35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5.75" x14ac:dyDescent="0.25">
      <c r="A18" s="12" t="s">
        <v>36</v>
      </c>
      <c r="B18" s="17" t="s">
        <v>37</v>
      </c>
      <c r="C18" s="14">
        <v>250</v>
      </c>
      <c r="D18" s="15">
        <f>C18*5.03/250</f>
        <v>5.03</v>
      </c>
      <c r="E18" s="15">
        <f>C18*11.3/250</f>
        <v>11.3</v>
      </c>
      <c r="F18" s="15">
        <f>C18*32.28/250</f>
        <v>32.28</v>
      </c>
      <c r="G18" s="15">
        <f>C18*149.6/250</f>
        <v>149.6</v>
      </c>
      <c r="H18" s="15">
        <f>0.1*C18/250</f>
        <v>0.1</v>
      </c>
      <c r="I18" s="15">
        <f>C18*16.78/250</f>
        <v>16.78</v>
      </c>
      <c r="J18" s="15">
        <f>0.02*C18/250</f>
        <v>0.02</v>
      </c>
      <c r="K18" s="15">
        <f>2.42*C18/250</f>
        <v>2.42</v>
      </c>
      <c r="L18" s="15">
        <v>62.16</v>
      </c>
      <c r="M18" s="15">
        <f>65.75*C18/250</f>
        <v>65.75</v>
      </c>
      <c r="N18" s="15">
        <f>32.55*C18/250</f>
        <v>32.549999999999997</v>
      </c>
      <c r="O18" s="15">
        <f>1.03*C18/250</f>
        <v>1.03</v>
      </c>
    </row>
    <row r="19" spans="1:15" ht="15.75" x14ac:dyDescent="0.25">
      <c r="A19" s="29" t="s">
        <v>38</v>
      </c>
      <c r="B19" s="17" t="s">
        <v>39</v>
      </c>
      <c r="C19" s="16">
        <v>200</v>
      </c>
      <c r="D19" s="15">
        <f>C19*3.68/100</f>
        <v>7.36</v>
      </c>
      <c r="E19" s="15">
        <f>C19*3.53/100</f>
        <v>7.06</v>
      </c>
      <c r="F19" s="15">
        <f>C19*23.55/100</f>
        <v>47.1</v>
      </c>
      <c r="G19" s="15">
        <f>C19*140.73/100</f>
        <v>281.45999999999998</v>
      </c>
      <c r="H19" s="15">
        <f>C19*0.05/100</f>
        <v>0.1</v>
      </c>
      <c r="I19" s="15">
        <v>0.03</v>
      </c>
      <c r="J19" s="15">
        <v>0</v>
      </c>
      <c r="K19" s="15">
        <f>C19*0.66/100</f>
        <v>1.32</v>
      </c>
      <c r="L19" s="15">
        <f>C19*7.59/100</f>
        <v>15.18</v>
      </c>
      <c r="M19" s="15">
        <f>C19*31.43/100</f>
        <v>62.86</v>
      </c>
      <c r="N19" s="15">
        <v>11.57</v>
      </c>
      <c r="O19" s="15">
        <v>0.61</v>
      </c>
    </row>
    <row r="20" spans="1:15" ht="15.75" x14ac:dyDescent="0.25">
      <c r="A20" s="12" t="s">
        <v>40</v>
      </c>
      <c r="B20" s="17" t="s">
        <v>41</v>
      </c>
      <c r="C20" s="16">
        <v>100</v>
      </c>
      <c r="D20" s="15">
        <f>C20*17.5/100</f>
        <v>17.5</v>
      </c>
      <c r="E20" s="15">
        <f>C20*6.1/100</f>
        <v>6.1</v>
      </c>
      <c r="F20" s="15">
        <f>C20*2.99/100</f>
        <v>2.99</v>
      </c>
      <c r="G20" s="15">
        <f>C20*136.51/100</f>
        <v>136.51</v>
      </c>
      <c r="H20" s="15">
        <f>C20*0.06/100</f>
        <v>0.06</v>
      </c>
      <c r="I20" s="15">
        <f>C20*1.12/100</f>
        <v>1.1200000000000001</v>
      </c>
      <c r="J20" s="15">
        <v>0</v>
      </c>
      <c r="K20" s="15">
        <f>C20*4.86/100</f>
        <v>4.8600000000000003</v>
      </c>
      <c r="L20" s="15">
        <f>C20*17.67/100</f>
        <v>17.670000000000002</v>
      </c>
      <c r="M20" s="15">
        <f>C20*209.06/100</f>
        <v>209.06</v>
      </c>
      <c r="N20" s="15">
        <f>C20*29.18/100</f>
        <v>29.18</v>
      </c>
      <c r="O20" s="15">
        <f>C20*1.94/100</f>
        <v>1.94</v>
      </c>
    </row>
    <row r="21" spans="1:15" ht="15.75" x14ac:dyDescent="0.25">
      <c r="A21" s="29" t="s">
        <v>42</v>
      </c>
      <c r="B21" s="17" t="s">
        <v>43</v>
      </c>
      <c r="C21" s="16">
        <v>80</v>
      </c>
      <c r="D21" s="19">
        <f>C21*1.26/100</f>
        <v>1.008</v>
      </c>
      <c r="E21" s="19">
        <f>C21*10.08/100</f>
        <v>8.0640000000000001</v>
      </c>
      <c r="F21" s="19">
        <f>C21*7.76/100</f>
        <v>6.2079999999999993</v>
      </c>
      <c r="G21" s="19">
        <f>C21*126.8/100</f>
        <v>101.44</v>
      </c>
      <c r="H21" s="19">
        <f>G21*0.01/100</f>
        <v>1.0144E-2</v>
      </c>
      <c r="I21" s="19">
        <f>C21*4.2/100</f>
        <v>3.36</v>
      </c>
      <c r="J21" s="19">
        <v>0</v>
      </c>
      <c r="K21" s="19">
        <f>C21*3.42/100</f>
        <v>2.7360000000000002</v>
      </c>
      <c r="L21" s="19">
        <f>C21*31.73/100</f>
        <v>25.384</v>
      </c>
      <c r="M21" s="19">
        <f>C21*35.1/100</f>
        <v>28.08</v>
      </c>
      <c r="N21" s="19">
        <f>C21*32.81/100</f>
        <v>26.248000000000001</v>
      </c>
      <c r="O21" s="19">
        <f>C21*1.25/100</f>
        <v>1</v>
      </c>
    </row>
    <row r="22" spans="1:15" ht="15.75" x14ac:dyDescent="0.25">
      <c r="A22" s="29" t="s">
        <v>44</v>
      </c>
      <c r="B22" s="17" t="s">
        <v>45</v>
      </c>
      <c r="C22" s="16">
        <v>200</v>
      </c>
      <c r="D22" s="15">
        <v>0.48</v>
      </c>
      <c r="E22" s="15">
        <v>0.25</v>
      </c>
      <c r="F22" s="15">
        <v>26.81</v>
      </c>
      <c r="G22" s="15">
        <v>110.96</v>
      </c>
      <c r="H22" s="15">
        <v>0.02</v>
      </c>
      <c r="I22" s="15">
        <v>7.2</v>
      </c>
      <c r="J22" s="15">
        <v>0.02</v>
      </c>
      <c r="K22" s="15">
        <v>0.14000000000000001</v>
      </c>
      <c r="L22" s="15">
        <v>15.6</v>
      </c>
      <c r="M22" s="15">
        <v>9.75</v>
      </c>
      <c r="N22" s="15">
        <v>5.92</v>
      </c>
      <c r="O22" s="15">
        <v>0.31</v>
      </c>
    </row>
    <row r="23" spans="1:15" ht="15.75" x14ac:dyDescent="0.25">
      <c r="A23" s="12"/>
      <c r="B23" s="17" t="s">
        <v>30</v>
      </c>
      <c r="C23" s="16">
        <v>60</v>
      </c>
      <c r="D23" s="15">
        <f>C23*6.9/100</f>
        <v>4.1399999999999997</v>
      </c>
      <c r="E23" s="19">
        <f>1*C23/100</f>
        <v>0.6</v>
      </c>
      <c r="F23" s="19">
        <f>C23*48.3/100</f>
        <v>28.98</v>
      </c>
      <c r="G23" s="19">
        <f>C23*235/100</f>
        <v>141</v>
      </c>
      <c r="H23" s="21">
        <f>C23*0.16/100</f>
        <v>9.6000000000000002E-2</v>
      </c>
      <c r="I23" s="21">
        <v>0</v>
      </c>
      <c r="J23" s="21">
        <v>0</v>
      </c>
      <c r="K23" s="21">
        <f>C23*1.3/100</f>
        <v>0.78</v>
      </c>
      <c r="L23" s="21">
        <f>C23*23/100</f>
        <v>13.8</v>
      </c>
      <c r="M23" s="21">
        <f>C23*87/100</f>
        <v>52.2</v>
      </c>
      <c r="N23" s="21">
        <f>C23*33/100</f>
        <v>19.8</v>
      </c>
      <c r="O23" s="21">
        <f>C23*2/100</f>
        <v>1.2</v>
      </c>
    </row>
    <row r="24" spans="1:15" ht="15.75" x14ac:dyDescent="0.25">
      <c r="A24" s="12"/>
      <c r="B24" s="17" t="s">
        <v>46</v>
      </c>
      <c r="C24" s="16">
        <v>72</v>
      </c>
      <c r="D24" s="15">
        <f>C24*4.8/100</f>
        <v>3.4559999999999995</v>
      </c>
      <c r="E24" s="19">
        <f>C24*1/100</f>
        <v>0.72</v>
      </c>
      <c r="F24" s="19">
        <f>C24*21.2/50</f>
        <v>30.527999999999999</v>
      </c>
      <c r="G24" s="19">
        <f>C24*100/50</f>
        <v>144</v>
      </c>
      <c r="H24" s="21">
        <f>C24*0.03/50</f>
        <v>4.3200000000000002E-2</v>
      </c>
      <c r="I24" s="21">
        <v>0</v>
      </c>
      <c r="J24" s="21">
        <v>0</v>
      </c>
      <c r="K24" s="21">
        <f>C24*0.07/50</f>
        <v>0.10080000000000001</v>
      </c>
      <c r="L24" s="21">
        <f>C24*10.2/50</f>
        <v>14.687999999999999</v>
      </c>
      <c r="M24" s="21">
        <f>C24*42/50</f>
        <v>60.48</v>
      </c>
      <c r="N24" s="21">
        <f>C24*8.2/50</f>
        <v>11.808</v>
      </c>
      <c r="O24" s="21">
        <v>0.05</v>
      </c>
    </row>
    <row r="25" spans="1:15" ht="15.75" x14ac:dyDescent="0.25">
      <c r="A25" s="30"/>
      <c r="B25" s="112" t="s">
        <v>47</v>
      </c>
      <c r="C25" s="113">
        <f>SUM(C18:C24)</f>
        <v>962</v>
      </c>
      <c r="D25" s="114">
        <v>35.42</v>
      </c>
      <c r="E25" s="114">
        <f t="shared" ref="E25:O25" si="1">SUM(E18:E24)</f>
        <v>34.094000000000001</v>
      </c>
      <c r="F25" s="114">
        <f t="shared" si="1"/>
        <v>174.89599999999999</v>
      </c>
      <c r="G25" s="114">
        <f t="shared" si="1"/>
        <v>1064.97</v>
      </c>
      <c r="H25" s="114">
        <v>0.42</v>
      </c>
      <c r="I25" s="114">
        <f t="shared" si="1"/>
        <v>28.490000000000002</v>
      </c>
      <c r="J25" s="114">
        <f t="shared" si="1"/>
        <v>0.04</v>
      </c>
      <c r="K25" s="114">
        <f t="shared" si="1"/>
        <v>12.356800000000002</v>
      </c>
      <c r="L25" s="114">
        <f t="shared" si="1"/>
        <v>164.482</v>
      </c>
      <c r="M25" s="114">
        <f t="shared" si="1"/>
        <v>488.18</v>
      </c>
      <c r="N25" s="114">
        <f t="shared" si="1"/>
        <v>137.07599999999999</v>
      </c>
      <c r="O25" s="114">
        <f t="shared" si="1"/>
        <v>6.14</v>
      </c>
    </row>
    <row r="26" spans="1:15" ht="15.75" x14ac:dyDescent="0.25">
      <c r="A26" s="26"/>
      <c r="B26" s="33" t="s">
        <v>48</v>
      </c>
      <c r="C26" s="24"/>
      <c r="D26" s="34">
        <f t="shared" ref="D26:O26" si="2">D16+D25</f>
        <v>55.63</v>
      </c>
      <c r="E26" s="34">
        <f t="shared" si="2"/>
        <v>58.259</v>
      </c>
      <c r="F26" s="34">
        <f t="shared" si="2"/>
        <v>281.57599999999996</v>
      </c>
      <c r="G26" s="34">
        <f t="shared" si="2"/>
        <v>1792.58</v>
      </c>
      <c r="H26" s="34">
        <f t="shared" si="2"/>
        <v>0.74099999999999999</v>
      </c>
      <c r="I26" s="34">
        <f t="shared" si="2"/>
        <v>43.31</v>
      </c>
      <c r="J26" s="34">
        <f t="shared" si="2"/>
        <v>0.22</v>
      </c>
      <c r="K26" s="34">
        <f t="shared" si="2"/>
        <v>14.266800000000002</v>
      </c>
      <c r="L26" s="34">
        <f t="shared" si="2"/>
        <v>642.38199999999995</v>
      </c>
      <c r="M26" s="34">
        <f t="shared" si="2"/>
        <v>874.81</v>
      </c>
      <c r="N26" s="34">
        <f t="shared" si="2"/>
        <v>236.10599999999999</v>
      </c>
      <c r="O26" s="34">
        <f t="shared" si="2"/>
        <v>9.0350000000000001</v>
      </c>
    </row>
    <row r="27" spans="1:15" ht="15.75" x14ac:dyDescent="0.25">
      <c r="A27" s="10"/>
      <c r="B27" s="2"/>
      <c r="C27" s="2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10"/>
      <c r="B28" s="211" t="s">
        <v>49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</row>
    <row r="29" spans="1:15" ht="15.75" x14ac:dyDescent="0.25">
      <c r="A29" s="203" t="s">
        <v>3</v>
      </c>
      <c r="B29" s="205" t="s">
        <v>4</v>
      </c>
      <c r="C29" s="206" t="s">
        <v>5</v>
      </c>
      <c r="D29" s="208" t="s">
        <v>6</v>
      </c>
      <c r="E29" s="208"/>
      <c r="F29" s="208"/>
      <c r="G29" s="209" t="s">
        <v>7</v>
      </c>
      <c r="H29" s="208" t="s">
        <v>8</v>
      </c>
      <c r="I29" s="208"/>
      <c r="J29" s="208"/>
      <c r="K29" s="208"/>
      <c r="L29" s="208" t="s">
        <v>9</v>
      </c>
      <c r="M29" s="208"/>
      <c r="N29" s="208"/>
      <c r="O29" s="208"/>
    </row>
    <row r="30" spans="1:15" ht="15.75" x14ac:dyDescent="0.25">
      <c r="A30" s="204"/>
      <c r="B30" s="205"/>
      <c r="C30" s="207"/>
      <c r="D30" s="5" t="s">
        <v>10</v>
      </c>
      <c r="E30" s="5" t="s">
        <v>11</v>
      </c>
      <c r="F30" s="5" t="s">
        <v>12</v>
      </c>
      <c r="G30" s="210"/>
      <c r="H30" s="5" t="s">
        <v>13</v>
      </c>
      <c r="I30" s="5" t="s">
        <v>14</v>
      </c>
      <c r="J30" s="5" t="s">
        <v>15</v>
      </c>
      <c r="K30" s="5" t="s">
        <v>16</v>
      </c>
      <c r="L30" s="5" t="s">
        <v>17</v>
      </c>
      <c r="M30" s="5" t="s">
        <v>18</v>
      </c>
      <c r="N30" s="5" t="s">
        <v>19</v>
      </c>
      <c r="O30" s="5" t="s">
        <v>20</v>
      </c>
    </row>
    <row r="31" spans="1:15" ht="15.75" x14ac:dyDescent="0.25">
      <c r="A31" s="6">
        <v>1</v>
      </c>
      <c r="B31" s="7">
        <v>2</v>
      </c>
      <c r="C31" s="8">
        <v>3</v>
      </c>
      <c r="D31" s="8">
        <v>4</v>
      </c>
      <c r="E31" s="8">
        <v>5</v>
      </c>
      <c r="F31" s="8">
        <v>6</v>
      </c>
      <c r="G31" s="9">
        <v>7</v>
      </c>
      <c r="H31" s="8">
        <v>8</v>
      </c>
      <c r="I31" s="8">
        <v>9</v>
      </c>
      <c r="J31" s="8">
        <v>10</v>
      </c>
      <c r="K31" s="8">
        <v>11</v>
      </c>
      <c r="L31" s="8">
        <v>12</v>
      </c>
      <c r="M31" s="8">
        <v>13</v>
      </c>
      <c r="N31" s="8">
        <v>14</v>
      </c>
      <c r="O31" s="8">
        <v>15</v>
      </c>
    </row>
    <row r="32" spans="1:15" ht="15.75" x14ac:dyDescent="0.25">
      <c r="A32" s="10"/>
      <c r="B32" s="11" t="s">
        <v>21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75" x14ac:dyDescent="0.25">
      <c r="A33" s="12" t="s">
        <v>50</v>
      </c>
      <c r="B33" s="13" t="s">
        <v>51</v>
      </c>
      <c r="C33" s="16">
        <v>205</v>
      </c>
      <c r="D33" s="15">
        <v>7.23</v>
      </c>
      <c r="E33" s="19">
        <v>6.67</v>
      </c>
      <c r="F33" s="19">
        <v>39.54</v>
      </c>
      <c r="G33" s="19">
        <v>246.87</v>
      </c>
      <c r="H33" s="21">
        <v>0.1</v>
      </c>
      <c r="I33" s="21">
        <v>0.28000000000000003</v>
      </c>
      <c r="J33" s="21">
        <v>0.01</v>
      </c>
      <c r="K33" s="21">
        <v>0.72</v>
      </c>
      <c r="L33" s="21">
        <v>117.05</v>
      </c>
      <c r="M33" s="21">
        <v>191.58</v>
      </c>
      <c r="N33" s="21">
        <v>42.87</v>
      </c>
      <c r="O33" s="21">
        <v>0.79</v>
      </c>
    </row>
    <row r="34" spans="1:15" ht="15.75" x14ac:dyDescent="0.25">
      <c r="A34" s="29" t="s">
        <v>52</v>
      </c>
      <c r="B34" s="17" t="s">
        <v>53</v>
      </c>
      <c r="C34" s="35">
        <v>200</v>
      </c>
      <c r="D34" s="36">
        <v>7.0000000000000007E-2</v>
      </c>
      <c r="E34" s="36">
        <v>0.01</v>
      </c>
      <c r="F34" s="36">
        <v>15.31</v>
      </c>
      <c r="G34" s="36">
        <v>61.62</v>
      </c>
      <c r="H34" s="37">
        <v>0</v>
      </c>
      <c r="I34" s="37">
        <v>1</v>
      </c>
      <c r="J34" s="37">
        <v>0</v>
      </c>
      <c r="K34" s="38">
        <v>0.01</v>
      </c>
      <c r="L34" s="38">
        <v>8.0500000000000007</v>
      </c>
      <c r="M34" s="38">
        <v>9.7899999999999991</v>
      </c>
      <c r="N34" s="38">
        <v>5.24</v>
      </c>
      <c r="O34" s="38">
        <v>0.9</v>
      </c>
    </row>
    <row r="35" spans="1:15" ht="15.75" x14ac:dyDescent="0.25">
      <c r="A35" s="12" t="s">
        <v>26</v>
      </c>
      <c r="B35" s="17" t="s">
        <v>54</v>
      </c>
      <c r="C35" s="16">
        <v>10</v>
      </c>
      <c r="D35" s="15">
        <f>C35*0.1/10</f>
        <v>0.1</v>
      </c>
      <c r="E35" s="15">
        <f>C35*7.2/10</f>
        <v>7.2</v>
      </c>
      <c r="F35" s="15">
        <f>C35*0.1/10</f>
        <v>0.1</v>
      </c>
      <c r="G35" s="15">
        <f>C35*66/10</f>
        <v>66</v>
      </c>
      <c r="H35" s="18">
        <v>0</v>
      </c>
      <c r="I35" s="18">
        <f>C35*0.28/10</f>
        <v>0.28000000000000003</v>
      </c>
      <c r="J35" s="18">
        <v>0</v>
      </c>
      <c r="K35" s="18">
        <f>C35*0.1/10</f>
        <v>0.1</v>
      </c>
      <c r="L35" s="18">
        <f>C35*2.2/10</f>
        <v>2.2000000000000002</v>
      </c>
      <c r="M35" s="18">
        <f>C35*1.9/10</f>
        <v>1.9</v>
      </c>
      <c r="N35" s="18">
        <f>C35*0.3/10</f>
        <v>0.3</v>
      </c>
      <c r="O35" s="18">
        <f>C35*0.02/10</f>
        <v>0.02</v>
      </c>
    </row>
    <row r="36" spans="1:15" ht="15.75" x14ac:dyDescent="0.25">
      <c r="A36" s="29"/>
      <c r="B36" s="17" t="s">
        <v>55</v>
      </c>
      <c r="C36" s="16">
        <v>60</v>
      </c>
      <c r="D36" s="15">
        <f>C36*6.9/100</f>
        <v>4.1399999999999997</v>
      </c>
      <c r="E36" s="19">
        <f>1*C36/100</f>
        <v>0.6</v>
      </c>
      <c r="F36" s="19">
        <f>C36*48.3/100</f>
        <v>28.98</v>
      </c>
      <c r="G36" s="19">
        <f>C36*235/100</f>
        <v>141</v>
      </c>
      <c r="H36" s="21">
        <f>C36*0.16/100</f>
        <v>9.6000000000000002E-2</v>
      </c>
      <c r="I36" s="21">
        <v>0</v>
      </c>
      <c r="J36" s="21">
        <v>0</v>
      </c>
      <c r="K36" s="21">
        <f>C36*1.3/100</f>
        <v>0.78</v>
      </c>
      <c r="L36" s="21">
        <f>C36*23/100</f>
        <v>13.8</v>
      </c>
      <c r="M36" s="21">
        <f>C36*87/100</f>
        <v>52.2</v>
      </c>
      <c r="N36" s="21">
        <f>C36*33/100</f>
        <v>19.8</v>
      </c>
      <c r="O36" s="21">
        <f>C36*2/100</f>
        <v>1.2</v>
      </c>
    </row>
    <row r="37" spans="1:15" ht="15.75" x14ac:dyDescent="0.25">
      <c r="A37" s="40"/>
      <c r="B37" s="17" t="s">
        <v>57</v>
      </c>
      <c r="C37" s="16">
        <v>150</v>
      </c>
      <c r="D37" s="19">
        <f>0.4*C37/100</f>
        <v>0.6</v>
      </c>
      <c r="E37" s="19">
        <f>C37*0.4/100</f>
        <v>0.6</v>
      </c>
      <c r="F37" s="19">
        <f>C37*9.8/100</f>
        <v>14.7</v>
      </c>
      <c r="G37" s="19">
        <f>C37*42/100</f>
        <v>63</v>
      </c>
      <c r="H37" s="20">
        <f>0.03*C37/100</f>
        <v>4.4999999999999998E-2</v>
      </c>
      <c r="I37" s="20">
        <f>C37*5/100</f>
        <v>7.5</v>
      </c>
      <c r="J37" s="20">
        <f>0.03*C37/100</f>
        <v>4.4999999999999998E-2</v>
      </c>
      <c r="K37" s="20">
        <f>C37*0.6/100</f>
        <v>0.9</v>
      </c>
      <c r="L37" s="20">
        <f>C37*16/100</f>
        <v>24</v>
      </c>
      <c r="M37" s="20">
        <f>C37*11/100</f>
        <v>16.5</v>
      </c>
      <c r="N37" s="20">
        <f>C37*5/100</f>
        <v>7.5</v>
      </c>
      <c r="O37" s="20">
        <f>C37*2.2/100</f>
        <v>3.3</v>
      </c>
    </row>
    <row r="38" spans="1:15" ht="15.75" x14ac:dyDescent="0.25">
      <c r="A38" s="41"/>
      <c r="B38" s="2" t="s">
        <v>34</v>
      </c>
      <c r="C38" s="24">
        <f t="shared" ref="C38:O38" si="3">SUM(C33:C37)</f>
        <v>625</v>
      </c>
      <c r="D38" s="34">
        <f t="shared" si="3"/>
        <v>12.139999999999999</v>
      </c>
      <c r="E38" s="34">
        <f t="shared" si="3"/>
        <v>15.079999999999998</v>
      </c>
      <c r="F38" s="34">
        <f t="shared" si="3"/>
        <v>98.63000000000001</v>
      </c>
      <c r="G38" s="34">
        <f t="shared" si="3"/>
        <v>578.49</v>
      </c>
      <c r="H38" s="42">
        <f t="shared" si="3"/>
        <v>0.24099999999999999</v>
      </c>
      <c r="I38" s="34">
        <f t="shared" si="3"/>
        <v>9.06</v>
      </c>
      <c r="J38" s="34">
        <f t="shared" si="3"/>
        <v>5.5E-2</v>
      </c>
      <c r="K38" s="34">
        <f t="shared" si="3"/>
        <v>2.5099999999999998</v>
      </c>
      <c r="L38" s="34">
        <f t="shared" si="3"/>
        <v>165.1</v>
      </c>
      <c r="M38" s="34">
        <f t="shared" si="3"/>
        <v>271.97000000000003</v>
      </c>
      <c r="N38" s="34">
        <f t="shared" si="3"/>
        <v>75.709999999999994</v>
      </c>
      <c r="O38" s="34">
        <f t="shared" si="3"/>
        <v>6.21</v>
      </c>
    </row>
    <row r="39" spans="1:15" ht="15.75" x14ac:dyDescent="0.25">
      <c r="A39" s="43"/>
      <c r="B39" s="2" t="s">
        <v>35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x14ac:dyDescent="0.25">
      <c r="A40" s="44" t="s">
        <v>58</v>
      </c>
      <c r="B40" s="45" t="s">
        <v>59</v>
      </c>
      <c r="C40" s="46">
        <v>250</v>
      </c>
      <c r="D40" s="47">
        <f>C40*2.34/250</f>
        <v>2.34</v>
      </c>
      <c r="E40" s="47">
        <f>C40*3.89/250</f>
        <v>3.89</v>
      </c>
      <c r="F40" s="47">
        <f>C40*13.61/250</f>
        <v>13.61</v>
      </c>
      <c r="G40" s="47">
        <f>C40*98.79/250</f>
        <v>98.79</v>
      </c>
      <c r="H40" s="15">
        <f>C40*0.16/250</f>
        <v>0.16</v>
      </c>
      <c r="I40" s="15">
        <f>C40*3.13/250</f>
        <v>3.13</v>
      </c>
      <c r="J40" s="15">
        <f>C40*0.01/250</f>
        <v>0.01</v>
      </c>
      <c r="K40" s="15">
        <f>C40*0.21/250</f>
        <v>0.21</v>
      </c>
      <c r="L40" s="15">
        <f>28.43*C40/250</f>
        <v>28.43</v>
      </c>
      <c r="M40" s="15">
        <f>69.03*C40/250</f>
        <v>69.03</v>
      </c>
      <c r="N40" s="15">
        <f>26.6*C40/250</f>
        <v>26.6</v>
      </c>
      <c r="O40" s="15">
        <f>1.74*C40/250</f>
        <v>1.74</v>
      </c>
    </row>
    <row r="41" spans="1:15" ht="15.75" x14ac:dyDescent="0.25">
      <c r="A41" s="12" t="s">
        <v>60</v>
      </c>
      <c r="B41" s="17" t="s">
        <v>61</v>
      </c>
      <c r="C41" s="16">
        <v>200</v>
      </c>
      <c r="D41" s="19">
        <f>C41*4.26/200</f>
        <v>4.26</v>
      </c>
      <c r="E41" s="19">
        <f>8.08*C41/200</f>
        <v>8.08</v>
      </c>
      <c r="F41" s="19">
        <f>31.06*C41/200</f>
        <v>31.06</v>
      </c>
      <c r="G41" s="19">
        <f>213.94*C41/200</f>
        <v>213.94</v>
      </c>
      <c r="H41" s="20">
        <f>0.14*C41/200</f>
        <v>0.14000000000000001</v>
      </c>
      <c r="I41" s="20">
        <f>4.27*C41/200</f>
        <v>4.2699999999999996</v>
      </c>
      <c r="J41" s="20">
        <f>0.02*C41/200</f>
        <v>0.02</v>
      </c>
      <c r="K41" s="20">
        <f>0.26*C41/200</f>
        <v>0.26</v>
      </c>
      <c r="L41" s="20">
        <f>45.72*C41/200</f>
        <v>45.72</v>
      </c>
      <c r="M41" s="20">
        <f>98.62*C41/200</f>
        <v>98.62</v>
      </c>
      <c r="N41" s="20">
        <f>32.32*C41/200</f>
        <v>32.32</v>
      </c>
      <c r="O41" s="20">
        <f>1.32*C41/200</f>
        <v>1.32</v>
      </c>
    </row>
    <row r="42" spans="1:15" ht="15.75" x14ac:dyDescent="0.25">
      <c r="A42" s="12" t="s">
        <v>62</v>
      </c>
      <c r="B42" s="48" t="s">
        <v>63</v>
      </c>
      <c r="C42" s="35">
        <v>120</v>
      </c>
      <c r="D42" s="49">
        <v>11.01</v>
      </c>
      <c r="E42" s="49">
        <v>9.6199999999999992</v>
      </c>
      <c r="F42" s="49">
        <v>4</v>
      </c>
      <c r="G42" s="49">
        <v>146.66</v>
      </c>
      <c r="H42" s="50">
        <v>4.2999999999999997E-2</v>
      </c>
      <c r="I42" s="50">
        <v>2.0699999999999998</v>
      </c>
      <c r="J42" s="50">
        <v>0</v>
      </c>
      <c r="K42" s="50">
        <v>2.2000000000000002</v>
      </c>
      <c r="L42" s="50">
        <v>90.45</v>
      </c>
      <c r="M42" s="50">
        <v>123.78</v>
      </c>
      <c r="N42" s="50">
        <v>23.49</v>
      </c>
      <c r="O42" s="50">
        <v>0.56000000000000005</v>
      </c>
    </row>
    <row r="43" spans="1:15" ht="15.75" x14ac:dyDescent="0.25">
      <c r="A43" s="12" t="s">
        <v>64</v>
      </c>
      <c r="B43" s="17" t="s">
        <v>65</v>
      </c>
      <c r="C43" s="16">
        <v>120</v>
      </c>
      <c r="D43" s="15">
        <f>C43*0.84/100</f>
        <v>1.008</v>
      </c>
      <c r="E43" s="19">
        <f>C43*5.06/100</f>
        <v>6.0719999999999992</v>
      </c>
      <c r="F43" s="19">
        <f>C43*5.32/100</f>
        <v>6.3840000000000012</v>
      </c>
      <c r="G43" s="19">
        <f>C43*70.02/100</f>
        <v>84.024000000000001</v>
      </c>
      <c r="H43" s="21">
        <f>C43*0.04/100</f>
        <v>4.8000000000000001E-2</v>
      </c>
      <c r="I43" s="21">
        <f>C43*18.72/100</f>
        <v>22.463999999999995</v>
      </c>
      <c r="J43" s="21">
        <v>0</v>
      </c>
      <c r="K43" s="21">
        <f>C43*4.52/100</f>
        <v>5.4239999999999995</v>
      </c>
      <c r="L43" s="21">
        <f>C43*45.52/100</f>
        <v>54.624000000000002</v>
      </c>
      <c r="M43" s="21">
        <f>C43*31.54/100</f>
        <v>37.847999999999999</v>
      </c>
      <c r="N43" s="21">
        <f>C43*17.24/100</f>
        <v>20.687999999999999</v>
      </c>
      <c r="O43" s="21">
        <f>C43*0.58/100</f>
        <v>0.69599999999999995</v>
      </c>
    </row>
    <row r="44" spans="1:15" ht="15.75" x14ac:dyDescent="0.25">
      <c r="A44" s="12" t="s">
        <v>66</v>
      </c>
      <c r="B44" s="17" t="s">
        <v>67</v>
      </c>
      <c r="C44" s="16">
        <v>200</v>
      </c>
      <c r="D44" s="15">
        <v>0.33</v>
      </c>
      <c r="E44" s="15">
        <v>0</v>
      </c>
      <c r="F44" s="15">
        <v>22.66</v>
      </c>
      <c r="G44" s="15">
        <v>91.98</v>
      </c>
      <c r="H44" s="15">
        <v>0.01</v>
      </c>
      <c r="I44" s="15">
        <v>0.28000000000000003</v>
      </c>
      <c r="J44" s="15">
        <v>0.01</v>
      </c>
      <c r="K44" s="15">
        <v>0.11</v>
      </c>
      <c r="L44" s="15">
        <v>51.84</v>
      </c>
      <c r="M44" s="15">
        <v>33.630000000000003</v>
      </c>
      <c r="N44" s="15">
        <v>25.2</v>
      </c>
      <c r="O44" s="15">
        <v>7.17</v>
      </c>
    </row>
    <row r="45" spans="1:15" ht="15.75" x14ac:dyDescent="0.25">
      <c r="A45" s="51"/>
      <c r="B45" s="45" t="s">
        <v>68</v>
      </c>
      <c r="C45" s="16">
        <v>50</v>
      </c>
      <c r="D45" s="15">
        <f>C45*6.9/100</f>
        <v>3.45</v>
      </c>
      <c r="E45" s="19">
        <f>1*C45/100</f>
        <v>0.5</v>
      </c>
      <c r="F45" s="19">
        <f>C45*48.3/100</f>
        <v>24.15</v>
      </c>
      <c r="G45" s="19">
        <f>C45*235/100</f>
        <v>117.5</v>
      </c>
      <c r="H45" s="21">
        <f>C45*0.16/100</f>
        <v>0.08</v>
      </c>
      <c r="I45" s="21">
        <v>0</v>
      </c>
      <c r="J45" s="21">
        <v>0</v>
      </c>
      <c r="K45" s="21">
        <f>C45*1.3/100</f>
        <v>0.65</v>
      </c>
      <c r="L45" s="21">
        <f>C45*23/100</f>
        <v>11.5</v>
      </c>
      <c r="M45" s="21">
        <f>C45*87/100</f>
        <v>43.5</v>
      </c>
      <c r="N45" s="21">
        <f>C45*33/100</f>
        <v>16.5</v>
      </c>
      <c r="O45" s="21">
        <f>C45*2/100</f>
        <v>1</v>
      </c>
    </row>
    <row r="46" spans="1:15" ht="15.75" x14ac:dyDescent="0.25">
      <c r="A46" s="51"/>
      <c r="B46" s="45" t="s">
        <v>69</v>
      </c>
      <c r="C46" s="16">
        <v>70</v>
      </c>
      <c r="D46" s="15">
        <f>C46*4.8/100</f>
        <v>3.36</v>
      </c>
      <c r="E46" s="19">
        <f>C46*1/100</f>
        <v>0.7</v>
      </c>
      <c r="F46" s="19">
        <f>C46*21.2/50</f>
        <v>29.68</v>
      </c>
      <c r="G46" s="19">
        <f>C46*100/50</f>
        <v>140</v>
      </c>
      <c r="H46" s="21">
        <f>C46*0.03/50</f>
        <v>4.2000000000000003E-2</v>
      </c>
      <c r="I46" s="21">
        <v>0</v>
      </c>
      <c r="J46" s="21">
        <v>0</v>
      </c>
      <c r="K46" s="21">
        <f>C46*0.07/50</f>
        <v>9.8000000000000004E-2</v>
      </c>
      <c r="L46" s="21">
        <f>C46*10.2/50</f>
        <v>14.28</v>
      </c>
      <c r="M46" s="21">
        <f>C46*42/50</f>
        <v>58.8</v>
      </c>
      <c r="N46" s="21">
        <f>C46*8.2/50</f>
        <v>11.48</v>
      </c>
      <c r="O46" s="21">
        <v>0.05</v>
      </c>
    </row>
    <row r="47" spans="1:15" ht="15.75" x14ac:dyDescent="0.25">
      <c r="A47" s="41"/>
      <c r="B47" s="115" t="s">
        <v>47</v>
      </c>
      <c r="C47" s="113">
        <f>SUM(C40:C46)</f>
        <v>1010</v>
      </c>
      <c r="D47" s="116">
        <v>29.22</v>
      </c>
      <c r="E47" s="116">
        <f t="shared" ref="E47:O47" si="4">SUM(E40:E46)</f>
        <v>28.861999999999998</v>
      </c>
      <c r="F47" s="116">
        <f t="shared" si="4"/>
        <v>131.54400000000001</v>
      </c>
      <c r="G47" s="116">
        <f t="shared" si="4"/>
        <v>892.89400000000001</v>
      </c>
      <c r="H47" s="116">
        <f t="shared" si="4"/>
        <v>0.52300000000000002</v>
      </c>
      <c r="I47" s="116">
        <f t="shared" si="4"/>
        <v>32.213999999999992</v>
      </c>
      <c r="J47" s="116">
        <f t="shared" si="4"/>
        <v>0.04</v>
      </c>
      <c r="K47" s="116">
        <f t="shared" si="4"/>
        <v>8.952</v>
      </c>
      <c r="L47" s="116">
        <f t="shared" si="4"/>
        <v>296.84399999999999</v>
      </c>
      <c r="M47" s="116">
        <f t="shared" si="4"/>
        <v>465.20800000000003</v>
      </c>
      <c r="N47" s="116">
        <f t="shared" si="4"/>
        <v>156.27799999999999</v>
      </c>
      <c r="O47" s="116">
        <f t="shared" si="4"/>
        <v>12.536000000000001</v>
      </c>
    </row>
    <row r="48" spans="1:15" ht="15.75" x14ac:dyDescent="0.25">
      <c r="A48" s="43"/>
      <c r="B48" s="33" t="s">
        <v>48</v>
      </c>
      <c r="C48" s="16"/>
      <c r="D48" s="15">
        <f t="shared" ref="D48:O48" si="5">D38+D47</f>
        <v>41.36</v>
      </c>
      <c r="E48" s="15">
        <f t="shared" si="5"/>
        <v>43.941999999999993</v>
      </c>
      <c r="F48" s="15">
        <f t="shared" si="5"/>
        <v>230.17400000000004</v>
      </c>
      <c r="G48" s="15">
        <f t="shared" si="5"/>
        <v>1471.384</v>
      </c>
      <c r="H48" s="15">
        <f t="shared" si="5"/>
        <v>0.76400000000000001</v>
      </c>
      <c r="I48" s="15">
        <f t="shared" si="5"/>
        <v>41.273999999999994</v>
      </c>
      <c r="J48" s="15">
        <f t="shared" si="5"/>
        <v>9.5000000000000001E-2</v>
      </c>
      <c r="K48" s="15">
        <f t="shared" si="5"/>
        <v>11.462</v>
      </c>
      <c r="L48" s="15">
        <f t="shared" si="5"/>
        <v>461.94399999999996</v>
      </c>
      <c r="M48" s="15">
        <f t="shared" si="5"/>
        <v>737.17800000000011</v>
      </c>
      <c r="N48" s="15">
        <f t="shared" si="5"/>
        <v>231.988</v>
      </c>
      <c r="O48" s="15">
        <f t="shared" si="5"/>
        <v>18.746000000000002</v>
      </c>
    </row>
    <row r="49" spans="1:15" ht="15.75" x14ac:dyDescent="0.25">
      <c r="A49" s="43"/>
      <c r="B49" s="17"/>
      <c r="C49" s="16"/>
      <c r="D49" s="16"/>
      <c r="E49" s="16"/>
      <c r="F49" s="16"/>
      <c r="G49" s="16"/>
      <c r="H49" s="16"/>
      <c r="I49" s="15"/>
      <c r="J49" s="15"/>
      <c r="K49" s="15"/>
      <c r="L49" s="15"/>
      <c r="M49" s="15"/>
      <c r="N49" s="15"/>
      <c r="O49" s="15"/>
    </row>
    <row r="50" spans="1:15" ht="15.75" x14ac:dyDescent="0.25">
      <c r="A50" s="10"/>
      <c r="B50" s="211" t="s">
        <v>70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</row>
    <row r="51" spans="1:15" ht="15.75" x14ac:dyDescent="0.25">
      <c r="A51" s="203" t="s">
        <v>3</v>
      </c>
      <c r="B51" s="205" t="s">
        <v>4</v>
      </c>
      <c r="C51" s="206" t="s">
        <v>5</v>
      </c>
      <c r="D51" s="208" t="s">
        <v>6</v>
      </c>
      <c r="E51" s="208"/>
      <c r="F51" s="208"/>
      <c r="G51" s="209" t="s">
        <v>7</v>
      </c>
      <c r="H51" s="208" t="s">
        <v>8</v>
      </c>
      <c r="I51" s="208"/>
      <c r="J51" s="208"/>
      <c r="K51" s="208"/>
      <c r="L51" s="208" t="s">
        <v>9</v>
      </c>
      <c r="M51" s="208"/>
      <c r="N51" s="208"/>
      <c r="O51" s="208"/>
    </row>
    <row r="52" spans="1:15" ht="15.75" x14ac:dyDescent="0.25">
      <c r="A52" s="204"/>
      <c r="B52" s="205"/>
      <c r="C52" s="207"/>
      <c r="D52" s="52" t="s">
        <v>10</v>
      </c>
      <c r="E52" s="52" t="s">
        <v>11</v>
      </c>
      <c r="F52" s="52" t="s">
        <v>12</v>
      </c>
      <c r="G52" s="210"/>
      <c r="H52" s="52" t="s">
        <v>13</v>
      </c>
      <c r="I52" s="52" t="s">
        <v>14</v>
      </c>
      <c r="J52" s="52" t="s">
        <v>15</v>
      </c>
      <c r="K52" s="52" t="s">
        <v>16</v>
      </c>
      <c r="L52" s="52" t="s">
        <v>17</v>
      </c>
      <c r="M52" s="52" t="s">
        <v>18</v>
      </c>
      <c r="N52" s="52" t="s">
        <v>19</v>
      </c>
      <c r="O52" s="52" t="s">
        <v>20</v>
      </c>
    </row>
    <row r="53" spans="1:15" ht="15.75" x14ac:dyDescent="0.25">
      <c r="A53" s="6">
        <v>1</v>
      </c>
      <c r="B53" s="53">
        <v>2</v>
      </c>
      <c r="C53" s="8">
        <v>3</v>
      </c>
      <c r="D53" s="8">
        <v>4</v>
      </c>
      <c r="E53" s="8">
        <v>5</v>
      </c>
      <c r="F53" s="8">
        <v>6</v>
      </c>
      <c r="G53" s="9">
        <v>7</v>
      </c>
      <c r="H53" s="8">
        <v>8</v>
      </c>
      <c r="I53" s="8">
        <v>9</v>
      </c>
      <c r="J53" s="8">
        <v>10</v>
      </c>
      <c r="K53" s="8">
        <v>11</v>
      </c>
      <c r="L53" s="8">
        <v>12</v>
      </c>
      <c r="M53" s="8">
        <v>13</v>
      </c>
      <c r="N53" s="8">
        <v>14</v>
      </c>
      <c r="O53" s="8">
        <v>15</v>
      </c>
    </row>
    <row r="54" spans="1:15" ht="15.75" x14ac:dyDescent="0.25">
      <c r="A54" s="43"/>
      <c r="B54" s="54" t="s">
        <v>21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.75" x14ac:dyDescent="0.25">
      <c r="A55" s="12" t="s">
        <v>71</v>
      </c>
      <c r="B55" s="13" t="s">
        <v>72</v>
      </c>
      <c r="C55" s="14">
        <v>205</v>
      </c>
      <c r="D55" s="15">
        <f>6.04*C55/205</f>
        <v>6.04</v>
      </c>
      <c r="E55" s="19">
        <f>7.27*C55/205</f>
        <v>7.27</v>
      </c>
      <c r="F55" s="19">
        <f>34.29*C55/205</f>
        <v>34.29</v>
      </c>
      <c r="G55" s="19">
        <f>227.16*C55/205</f>
        <v>227.16000000000003</v>
      </c>
      <c r="H55" s="20">
        <v>0.13</v>
      </c>
      <c r="I55" s="20">
        <v>0.28999999999999998</v>
      </c>
      <c r="J55" s="20">
        <v>0.02</v>
      </c>
      <c r="K55" s="20">
        <v>0.17</v>
      </c>
      <c r="L55" s="20">
        <v>141.22</v>
      </c>
      <c r="M55" s="20">
        <v>145</v>
      </c>
      <c r="N55" s="20">
        <v>35.590000000000003</v>
      </c>
      <c r="O55" s="20">
        <v>2.4900000000000002</v>
      </c>
    </row>
    <row r="56" spans="1:15" ht="15.75" x14ac:dyDescent="0.25">
      <c r="A56" s="29" t="s">
        <v>73</v>
      </c>
      <c r="B56" s="13" t="s">
        <v>74</v>
      </c>
      <c r="C56" s="55">
        <v>200</v>
      </c>
      <c r="D56" s="56">
        <v>4.8499999999999996</v>
      </c>
      <c r="E56" s="56">
        <v>5.04</v>
      </c>
      <c r="F56" s="56">
        <v>32.729999999999997</v>
      </c>
      <c r="G56" s="56">
        <v>195.71</v>
      </c>
      <c r="H56" s="15">
        <v>0.03</v>
      </c>
      <c r="I56" s="15">
        <v>0.32</v>
      </c>
      <c r="J56" s="15">
        <v>0.02</v>
      </c>
      <c r="K56" s="15">
        <v>0.02</v>
      </c>
      <c r="L56" s="15">
        <v>131.72</v>
      </c>
      <c r="M56" s="15">
        <v>122.34</v>
      </c>
      <c r="N56" s="15">
        <v>17.02</v>
      </c>
      <c r="O56" s="15">
        <v>0.66</v>
      </c>
    </row>
    <row r="57" spans="1:15" ht="15.75" x14ac:dyDescent="0.25">
      <c r="A57" s="12" t="s">
        <v>26</v>
      </c>
      <c r="B57" s="17" t="s">
        <v>54</v>
      </c>
      <c r="C57" s="16">
        <v>10</v>
      </c>
      <c r="D57" s="15">
        <f>C57*0.1/10</f>
        <v>0.1</v>
      </c>
      <c r="E57" s="15">
        <f>C57*7.2/10</f>
        <v>7.2</v>
      </c>
      <c r="F57" s="15">
        <f>C57*0.1/10</f>
        <v>0.1</v>
      </c>
      <c r="G57" s="15">
        <f>C57*66/10</f>
        <v>66</v>
      </c>
      <c r="H57" s="18">
        <v>0</v>
      </c>
      <c r="I57" s="18">
        <f>C57*0.28/10</f>
        <v>0.28000000000000003</v>
      </c>
      <c r="J57" s="18">
        <v>0</v>
      </c>
      <c r="K57" s="18">
        <f>C57*0.1/10</f>
        <v>0.1</v>
      </c>
      <c r="L57" s="18">
        <f>C57*2.2/10</f>
        <v>2.2000000000000002</v>
      </c>
      <c r="M57" s="18">
        <f>C57*1.9/10</f>
        <v>1.9</v>
      </c>
      <c r="N57" s="18">
        <f>C57*0.3/10</f>
        <v>0.3</v>
      </c>
      <c r="O57" s="18">
        <f>C57*0.02/10</f>
        <v>0.02</v>
      </c>
    </row>
    <row r="58" spans="1:15" ht="15.75" x14ac:dyDescent="0.25">
      <c r="A58" s="29"/>
      <c r="B58" s="17" t="s">
        <v>68</v>
      </c>
      <c r="C58" s="16">
        <v>60</v>
      </c>
      <c r="D58" s="15">
        <f>C58*6.9/100</f>
        <v>4.1399999999999997</v>
      </c>
      <c r="E58" s="19">
        <f>1*C58/100</f>
        <v>0.6</v>
      </c>
      <c r="F58" s="19">
        <f>C58*48.3/100</f>
        <v>28.98</v>
      </c>
      <c r="G58" s="19">
        <f>C58*235/100</f>
        <v>141</v>
      </c>
      <c r="H58" s="21">
        <f>C58*0.16/100</f>
        <v>9.6000000000000002E-2</v>
      </c>
      <c r="I58" s="21">
        <v>0</v>
      </c>
      <c r="J58" s="21">
        <v>0</v>
      </c>
      <c r="K58" s="21">
        <f>C58*1.3/100</f>
        <v>0.78</v>
      </c>
      <c r="L58" s="21">
        <f>C58*23/100</f>
        <v>13.8</v>
      </c>
      <c r="M58" s="21">
        <f>C58*87/100</f>
        <v>52.2</v>
      </c>
      <c r="N58" s="21">
        <f>C58*33/100</f>
        <v>19.8</v>
      </c>
      <c r="O58" s="21">
        <f>C58*2/100</f>
        <v>1.2</v>
      </c>
    </row>
    <row r="59" spans="1:15" ht="15.75" x14ac:dyDescent="0.25">
      <c r="A59" s="29"/>
      <c r="B59" s="17" t="s">
        <v>75</v>
      </c>
      <c r="C59" s="16">
        <v>15</v>
      </c>
      <c r="D59" s="15">
        <f>C59*6.96/30</f>
        <v>3.48</v>
      </c>
      <c r="E59" s="19">
        <f>C59*8.85/30</f>
        <v>4.4249999999999998</v>
      </c>
      <c r="F59" s="19">
        <v>0</v>
      </c>
      <c r="G59" s="19">
        <f>C59*109.2/30</f>
        <v>54.6</v>
      </c>
      <c r="H59" s="20">
        <f>C59*0.01/30</f>
        <v>5.0000000000000001E-3</v>
      </c>
      <c r="I59" s="20">
        <f>C59*0.48/30</f>
        <v>0.23999999999999996</v>
      </c>
      <c r="J59" s="20">
        <f>C59*0.08/30</f>
        <v>0.04</v>
      </c>
      <c r="K59" s="20">
        <f>C59*0.12/30</f>
        <v>5.9999999999999991E-2</v>
      </c>
      <c r="L59" s="20">
        <f>C59*300/30</f>
        <v>150</v>
      </c>
      <c r="M59" s="20">
        <f>C59*162/30</f>
        <v>81</v>
      </c>
      <c r="N59" s="20">
        <f>C59*15/30</f>
        <v>7.5</v>
      </c>
      <c r="O59" s="20">
        <f>C59*0.33/30</f>
        <v>0.16500000000000001</v>
      </c>
    </row>
    <row r="60" spans="1:15" ht="15.75" x14ac:dyDescent="0.25">
      <c r="A60" s="29"/>
      <c r="B60" s="17" t="s">
        <v>77</v>
      </c>
      <c r="C60" s="16">
        <v>100</v>
      </c>
      <c r="D60" s="19">
        <f>C60*1.5/100</f>
        <v>1.5</v>
      </c>
      <c r="E60" s="19">
        <f>C60*0.5/100</f>
        <v>0.5</v>
      </c>
      <c r="F60" s="19">
        <f>C60*21/100</f>
        <v>21</v>
      </c>
      <c r="G60" s="19">
        <f>C60*89.3/100</f>
        <v>89.3</v>
      </c>
      <c r="H60" s="20">
        <v>0.1</v>
      </c>
      <c r="I60" s="20">
        <f>C60*5/100</f>
        <v>5</v>
      </c>
      <c r="J60" s="20">
        <f>C60*0.1/100</f>
        <v>0.1</v>
      </c>
      <c r="K60" s="20">
        <f>C60*0.2/100</f>
        <v>0.2</v>
      </c>
      <c r="L60" s="20">
        <f>C60*8/100</f>
        <v>8</v>
      </c>
      <c r="M60" s="20">
        <f>C60*28/100</f>
        <v>28</v>
      </c>
      <c r="N60" s="20">
        <f>C60*22/100</f>
        <v>22</v>
      </c>
      <c r="O60" s="20">
        <f>C60*0.6/100</f>
        <v>0.6</v>
      </c>
    </row>
    <row r="61" spans="1:15" ht="15.75" x14ac:dyDescent="0.25">
      <c r="A61" s="41"/>
      <c r="B61" s="23" t="s">
        <v>34</v>
      </c>
      <c r="C61" s="24">
        <f t="shared" ref="C61:O61" si="6">SUM(C55:C60)</f>
        <v>590</v>
      </c>
      <c r="D61" s="34">
        <f t="shared" si="6"/>
        <v>20.11</v>
      </c>
      <c r="E61" s="34">
        <f t="shared" si="6"/>
        <v>25.035</v>
      </c>
      <c r="F61" s="34">
        <f t="shared" si="6"/>
        <v>117.1</v>
      </c>
      <c r="G61" s="34">
        <f t="shared" si="6"/>
        <v>773.77</v>
      </c>
      <c r="H61" s="34">
        <f t="shared" si="6"/>
        <v>0.36099999999999999</v>
      </c>
      <c r="I61" s="34">
        <f t="shared" si="6"/>
        <v>6.13</v>
      </c>
      <c r="J61" s="34">
        <f t="shared" si="6"/>
        <v>0.18</v>
      </c>
      <c r="K61" s="34">
        <f t="shared" si="6"/>
        <v>1.33</v>
      </c>
      <c r="L61" s="34">
        <f t="shared" si="6"/>
        <v>446.94</v>
      </c>
      <c r="M61" s="34">
        <f t="shared" si="6"/>
        <v>430.44</v>
      </c>
      <c r="N61" s="34">
        <f t="shared" si="6"/>
        <v>102.21</v>
      </c>
      <c r="O61" s="34">
        <f t="shared" si="6"/>
        <v>5.1349999999999998</v>
      </c>
    </row>
    <row r="62" spans="1:15" ht="15.75" x14ac:dyDescent="0.25">
      <c r="A62" s="43"/>
      <c r="B62" s="2" t="s">
        <v>35</v>
      </c>
      <c r="C62" s="1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5.75" x14ac:dyDescent="0.25">
      <c r="A63" s="12" t="s">
        <v>78</v>
      </c>
      <c r="B63" s="17" t="s">
        <v>79</v>
      </c>
      <c r="C63" s="14">
        <v>250</v>
      </c>
      <c r="D63" s="15">
        <f>2.83*C63/250</f>
        <v>2.83</v>
      </c>
      <c r="E63" s="15">
        <f>2.86*C63/250</f>
        <v>2.86</v>
      </c>
      <c r="F63" s="15">
        <f>21.76*C63/250</f>
        <v>21.76</v>
      </c>
      <c r="G63" s="15">
        <f>124.09*C63/250</f>
        <v>124.09</v>
      </c>
      <c r="H63" s="15">
        <f>0.08*C63/250</f>
        <v>0.08</v>
      </c>
      <c r="I63" s="15">
        <f>5.09*C63/250</f>
        <v>5.09</v>
      </c>
      <c r="J63" s="15">
        <f>0.01*C63/250</f>
        <v>0.01</v>
      </c>
      <c r="K63" s="15">
        <f>0.4*C63/250</f>
        <v>0.4</v>
      </c>
      <c r="L63" s="15">
        <f>20.78*C63/250</f>
        <v>20.78</v>
      </c>
      <c r="M63" s="15">
        <f>54.19*C63/250</f>
        <v>54.19</v>
      </c>
      <c r="N63" s="15">
        <f>21.88*C63/250</f>
        <v>21.88</v>
      </c>
      <c r="O63" s="15">
        <f>0.93*C63/250</f>
        <v>0.93</v>
      </c>
    </row>
    <row r="64" spans="1:15" ht="15.75" x14ac:dyDescent="0.25">
      <c r="A64" s="12" t="s">
        <v>80</v>
      </c>
      <c r="B64" s="17" t="s">
        <v>81</v>
      </c>
      <c r="C64" s="16">
        <v>180</v>
      </c>
      <c r="D64" s="19">
        <f>3.72*C64/205</f>
        <v>3.2663414634146344</v>
      </c>
      <c r="E64" s="19">
        <f>14.87*C64/205</f>
        <v>13.056585365853659</v>
      </c>
      <c r="F64" s="19">
        <f>22.57*C64/205</f>
        <v>19.817560975609755</v>
      </c>
      <c r="G64" s="19">
        <f>238.99*C64/205</f>
        <v>209.84487804878052</v>
      </c>
      <c r="H64" s="20">
        <f>0.12*C64/205</f>
        <v>0.10536585365853658</v>
      </c>
      <c r="I64" s="20">
        <f>15.41*C64/205</f>
        <v>13.530731707317074</v>
      </c>
      <c r="J64" s="20">
        <f>0.03*C64/205</f>
        <v>2.6341463414634145E-2</v>
      </c>
      <c r="K64" s="20">
        <f>3.8*C64/205</f>
        <v>3.3365853658536584</v>
      </c>
      <c r="L64" s="20">
        <v>93.18</v>
      </c>
      <c r="M64" s="20">
        <f>105.41*C64/205</f>
        <v>92.555121951219505</v>
      </c>
      <c r="N64" s="20">
        <f>40.24*C64/205</f>
        <v>35.332682926829271</v>
      </c>
      <c r="O64" s="20">
        <f>1.4*C64/205</f>
        <v>1.2292682926829266</v>
      </c>
    </row>
    <row r="65" spans="1:15" ht="15.75" x14ac:dyDescent="0.25">
      <c r="A65" s="12" t="s">
        <v>82</v>
      </c>
      <c r="B65" s="17" t="s">
        <v>83</v>
      </c>
      <c r="C65" s="55">
        <v>120</v>
      </c>
      <c r="D65" s="56">
        <v>16.7</v>
      </c>
      <c r="E65" s="56">
        <f>9.4*C65/100</f>
        <v>11.28</v>
      </c>
      <c r="F65" s="56">
        <f>C65*3.3/100</f>
        <v>3.96</v>
      </c>
      <c r="G65" s="56">
        <f>C65*169/100</f>
        <v>202.8</v>
      </c>
      <c r="H65" s="57">
        <f>C65*0.05/100</f>
        <v>0.06</v>
      </c>
      <c r="I65" s="57">
        <f>C65*1.15/100</f>
        <v>1.38</v>
      </c>
      <c r="J65" s="57">
        <f>C65*0.03/100</f>
        <v>3.5999999999999997E-2</v>
      </c>
      <c r="K65" s="57">
        <f>C65*0.47/100</f>
        <v>0.56399999999999995</v>
      </c>
      <c r="L65" s="57">
        <f>C65*44.5/100</f>
        <v>53.4</v>
      </c>
      <c r="M65" s="57">
        <f>C65*141.31/100</f>
        <v>169.572</v>
      </c>
      <c r="N65" s="57">
        <f>C65*17.68/100</f>
        <v>21.215999999999998</v>
      </c>
      <c r="O65" s="57">
        <f>C65*1.24/100</f>
        <v>1.4880000000000002</v>
      </c>
    </row>
    <row r="66" spans="1:15" ht="15.75" x14ac:dyDescent="0.25">
      <c r="A66" s="12" t="s">
        <v>84</v>
      </c>
      <c r="B66" s="17" t="s">
        <v>85</v>
      </c>
      <c r="C66" s="16">
        <v>100</v>
      </c>
      <c r="D66" s="15">
        <f>C66*0.72/100</f>
        <v>0.72</v>
      </c>
      <c r="E66" s="15">
        <f>C66*10.08/100</f>
        <v>10.08</v>
      </c>
      <c r="F66" s="15">
        <f>C66*3/100</f>
        <v>3</v>
      </c>
      <c r="G66" s="15">
        <f>C66*103.6/100</f>
        <v>103.6</v>
      </c>
      <c r="H66" s="15">
        <f>C66*0.03/100</f>
        <v>0.03</v>
      </c>
      <c r="I66" s="18">
        <f>C66*4.55/100</f>
        <v>4.55</v>
      </c>
      <c r="J66" s="18">
        <f>C66*0.05/100</f>
        <v>0.05</v>
      </c>
      <c r="K66" s="18">
        <f>C66*4.54/100</f>
        <v>4.54</v>
      </c>
      <c r="L66" s="18">
        <f>C66*20.93/100</f>
        <v>20.93</v>
      </c>
      <c r="M66" s="18">
        <f>C66*38.22/100</f>
        <v>38.22</v>
      </c>
      <c r="N66" s="18">
        <f>C66*12.74/100</f>
        <v>12.74</v>
      </c>
      <c r="O66" s="18">
        <f>C66*0.55/100</f>
        <v>0.55000000000000004</v>
      </c>
    </row>
    <row r="67" spans="1:15" ht="15.75" x14ac:dyDescent="0.25">
      <c r="A67" s="12" t="s">
        <v>86</v>
      </c>
      <c r="B67" s="58" t="s">
        <v>87</v>
      </c>
      <c r="C67" s="16">
        <v>200</v>
      </c>
      <c r="D67" s="15">
        <v>0.16</v>
      </c>
      <c r="E67" s="19">
        <v>0</v>
      </c>
      <c r="F67" s="19">
        <v>14.99</v>
      </c>
      <c r="G67" s="19">
        <v>60.64</v>
      </c>
      <c r="H67" s="21">
        <v>0.03</v>
      </c>
      <c r="I67" s="21">
        <v>3.6</v>
      </c>
      <c r="J67" s="21">
        <v>0.14000000000000001</v>
      </c>
      <c r="K67" s="21">
        <v>0.2</v>
      </c>
      <c r="L67" s="21">
        <v>21.5</v>
      </c>
      <c r="M67" s="21">
        <v>22.46</v>
      </c>
      <c r="N67" s="21">
        <v>12.6</v>
      </c>
      <c r="O67" s="21">
        <v>0.65</v>
      </c>
    </row>
    <row r="68" spans="1:15" ht="15.75" x14ac:dyDescent="0.25">
      <c r="A68" s="40"/>
      <c r="B68" s="17" t="s">
        <v>68</v>
      </c>
      <c r="C68" s="16">
        <v>50</v>
      </c>
      <c r="D68" s="15">
        <f>C68*6.9/100</f>
        <v>3.45</v>
      </c>
      <c r="E68" s="19">
        <f>1*C68/100</f>
        <v>0.5</v>
      </c>
      <c r="F68" s="19">
        <f>C68*48.3/100</f>
        <v>24.15</v>
      </c>
      <c r="G68" s="19">
        <f>C68*235/100</f>
        <v>117.5</v>
      </c>
      <c r="H68" s="21">
        <f>C68*0.16/100</f>
        <v>0.08</v>
      </c>
      <c r="I68" s="21">
        <v>0</v>
      </c>
      <c r="J68" s="21">
        <v>0</v>
      </c>
      <c r="K68" s="21">
        <f>C68*1.3/100</f>
        <v>0.65</v>
      </c>
      <c r="L68" s="21">
        <f>C68*23/100</f>
        <v>11.5</v>
      </c>
      <c r="M68" s="21">
        <f>C68*87/100</f>
        <v>43.5</v>
      </c>
      <c r="N68" s="21">
        <f>C68*33/100</f>
        <v>16.5</v>
      </c>
      <c r="O68" s="21">
        <f>C68*2/100</f>
        <v>1</v>
      </c>
    </row>
    <row r="69" spans="1:15" ht="15.75" x14ac:dyDescent="0.25">
      <c r="A69" s="117"/>
      <c r="B69" s="17" t="s">
        <v>69</v>
      </c>
      <c r="C69" s="16">
        <v>70</v>
      </c>
      <c r="D69" s="15">
        <f>C69*4.8/100</f>
        <v>3.36</v>
      </c>
      <c r="E69" s="19">
        <f>C69*1/100</f>
        <v>0.7</v>
      </c>
      <c r="F69" s="19">
        <f>C69*21.2/50</f>
        <v>29.68</v>
      </c>
      <c r="G69" s="19">
        <f>C69*100/50</f>
        <v>140</v>
      </c>
      <c r="H69" s="21">
        <f>C69*0.03/50</f>
        <v>4.2000000000000003E-2</v>
      </c>
      <c r="I69" s="21">
        <v>0</v>
      </c>
      <c r="J69" s="21">
        <v>0</v>
      </c>
      <c r="K69" s="21">
        <f>C69*0.07/50</f>
        <v>9.8000000000000004E-2</v>
      </c>
      <c r="L69" s="21">
        <f>C69*10.2/50</f>
        <v>14.28</v>
      </c>
      <c r="M69" s="21">
        <f>C69*42/50</f>
        <v>58.8</v>
      </c>
      <c r="N69" s="21">
        <f>C69*8.2/50</f>
        <v>11.48</v>
      </c>
      <c r="O69" s="21">
        <v>0.05</v>
      </c>
    </row>
    <row r="70" spans="1:15" ht="15.75" x14ac:dyDescent="0.25">
      <c r="A70" s="41"/>
      <c r="B70" s="118" t="s">
        <v>47</v>
      </c>
      <c r="C70" s="113">
        <f>SUM(C63:C69)</f>
        <v>970</v>
      </c>
      <c r="D70" s="116">
        <v>32.57</v>
      </c>
      <c r="E70" s="116">
        <f>SUM(E63:E69)</f>
        <v>38.476585365853659</v>
      </c>
      <c r="F70" s="116">
        <v>122.16</v>
      </c>
      <c r="G70" s="116">
        <f>SUM(G63:G69)</f>
        <v>958.47487804878051</v>
      </c>
      <c r="H70" s="116">
        <v>0.48</v>
      </c>
      <c r="I70" s="116">
        <f t="shared" ref="I70:N70" si="7">SUM(I63:I69)</f>
        <v>28.150731707317075</v>
      </c>
      <c r="J70" s="116">
        <f t="shared" si="7"/>
        <v>0.26234146341463416</v>
      </c>
      <c r="K70" s="116">
        <f t="shared" si="7"/>
        <v>9.7885853658536597</v>
      </c>
      <c r="L70" s="116">
        <f t="shared" si="7"/>
        <v>235.57000000000002</v>
      </c>
      <c r="M70" s="116">
        <f t="shared" si="7"/>
        <v>479.29712195121954</v>
      </c>
      <c r="N70" s="116">
        <f t="shared" si="7"/>
        <v>131.74868292682925</v>
      </c>
      <c r="O70" s="116">
        <v>4.26</v>
      </c>
    </row>
    <row r="71" spans="1:15" ht="15.75" x14ac:dyDescent="0.25">
      <c r="A71" s="10"/>
      <c r="B71" s="214" t="s">
        <v>88</v>
      </c>
      <c r="C71" s="215"/>
      <c r="D71" s="42">
        <f t="shared" ref="D71:O71" si="8">D61+D70</f>
        <v>52.68</v>
      </c>
      <c r="E71" s="42">
        <f t="shared" si="8"/>
        <v>63.511585365853662</v>
      </c>
      <c r="F71" s="42">
        <f t="shared" si="8"/>
        <v>239.26</v>
      </c>
      <c r="G71" s="42">
        <f t="shared" si="8"/>
        <v>1732.2448780487805</v>
      </c>
      <c r="H71" s="42">
        <f t="shared" si="8"/>
        <v>0.84099999999999997</v>
      </c>
      <c r="I71" s="42">
        <f t="shared" si="8"/>
        <v>34.280731707317074</v>
      </c>
      <c r="J71" s="42">
        <f t="shared" si="8"/>
        <v>0.44234146341463415</v>
      </c>
      <c r="K71" s="42">
        <f t="shared" si="8"/>
        <v>11.11858536585366</v>
      </c>
      <c r="L71" s="42">
        <f t="shared" si="8"/>
        <v>682.51</v>
      </c>
      <c r="M71" s="42">
        <f t="shared" si="8"/>
        <v>909.73712195121948</v>
      </c>
      <c r="N71" s="42">
        <f t="shared" si="8"/>
        <v>233.95868292682923</v>
      </c>
      <c r="O71" s="42">
        <f t="shared" si="8"/>
        <v>9.3949999999999996</v>
      </c>
    </row>
    <row r="72" spans="1:15" ht="15.75" x14ac:dyDescent="0.25">
      <c r="A72" s="10"/>
      <c r="B72" s="211" t="s">
        <v>89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</row>
    <row r="73" spans="1:15" ht="15.75" x14ac:dyDescent="0.25">
      <c r="A73" s="203" t="s">
        <v>3</v>
      </c>
      <c r="B73" s="205" t="s">
        <v>4</v>
      </c>
      <c r="C73" s="206" t="s">
        <v>5</v>
      </c>
      <c r="D73" s="208" t="s">
        <v>6</v>
      </c>
      <c r="E73" s="208"/>
      <c r="F73" s="208"/>
      <c r="G73" s="209" t="s">
        <v>7</v>
      </c>
      <c r="H73" s="208" t="s">
        <v>8</v>
      </c>
      <c r="I73" s="208"/>
      <c r="J73" s="208"/>
      <c r="K73" s="208"/>
      <c r="L73" s="208" t="s">
        <v>9</v>
      </c>
      <c r="M73" s="208"/>
      <c r="N73" s="208"/>
      <c r="O73" s="208"/>
    </row>
    <row r="74" spans="1:15" ht="15.75" x14ac:dyDescent="0.25">
      <c r="A74" s="204"/>
      <c r="B74" s="205"/>
      <c r="C74" s="207"/>
      <c r="D74" s="5" t="s">
        <v>10</v>
      </c>
      <c r="E74" s="5" t="s">
        <v>11</v>
      </c>
      <c r="F74" s="5" t="s">
        <v>12</v>
      </c>
      <c r="G74" s="210"/>
      <c r="H74" s="5" t="s">
        <v>13</v>
      </c>
      <c r="I74" s="5" t="s">
        <v>14</v>
      </c>
      <c r="J74" s="5" t="s">
        <v>15</v>
      </c>
      <c r="K74" s="5" t="s">
        <v>16</v>
      </c>
      <c r="L74" s="5" t="s">
        <v>17</v>
      </c>
      <c r="M74" s="5" t="s">
        <v>18</v>
      </c>
      <c r="N74" s="5" t="s">
        <v>19</v>
      </c>
      <c r="O74" s="5" t="s">
        <v>20</v>
      </c>
    </row>
    <row r="75" spans="1:15" ht="15.75" x14ac:dyDescent="0.25">
      <c r="A75" s="6">
        <v>1</v>
      </c>
      <c r="B75" s="7">
        <v>2</v>
      </c>
      <c r="C75" s="8">
        <v>3</v>
      </c>
      <c r="D75" s="8">
        <v>4</v>
      </c>
      <c r="E75" s="8">
        <v>5</v>
      </c>
      <c r="F75" s="8">
        <v>6</v>
      </c>
      <c r="G75" s="9">
        <v>7</v>
      </c>
      <c r="H75" s="8">
        <v>8</v>
      </c>
      <c r="I75" s="8">
        <v>9</v>
      </c>
      <c r="J75" s="8">
        <v>10</v>
      </c>
      <c r="K75" s="8">
        <v>11</v>
      </c>
      <c r="L75" s="8">
        <v>12</v>
      </c>
      <c r="M75" s="8">
        <v>13</v>
      </c>
      <c r="N75" s="8">
        <v>14</v>
      </c>
      <c r="O75" s="8">
        <v>15</v>
      </c>
    </row>
    <row r="76" spans="1:15" ht="15.75" x14ac:dyDescent="0.25">
      <c r="A76" s="10"/>
      <c r="B76" s="54" t="s">
        <v>21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ht="15.75" x14ac:dyDescent="0.25">
      <c r="A77" s="29" t="s">
        <v>90</v>
      </c>
      <c r="B77" s="13" t="s">
        <v>91</v>
      </c>
      <c r="C77" s="14">
        <v>170</v>
      </c>
      <c r="D77" s="15">
        <f>C77*29.22/190</f>
        <v>26.144210526315788</v>
      </c>
      <c r="E77" s="15">
        <f>C77*12.1/190</f>
        <v>10.826315789473684</v>
      </c>
      <c r="F77" s="15">
        <f>C77*29.1/190</f>
        <v>26.036842105263158</v>
      </c>
      <c r="G77" s="15">
        <f>C77*342.23/190</f>
        <v>306.20578947368426</v>
      </c>
      <c r="H77" s="15">
        <f>C77*0.08/190</f>
        <v>7.1578947368421048E-2</v>
      </c>
      <c r="I77" s="15">
        <f>C77*0.61/190</f>
        <v>0.54578947368421049</v>
      </c>
      <c r="J77" s="15">
        <f>C77*0.09/190</f>
        <v>8.0526315789473682E-2</v>
      </c>
      <c r="K77" s="15">
        <f>C77*0.6/190</f>
        <v>0.5368421052631579</v>
      </c>
      <c r="L77" s="15">
        <f>C77*267.74/190</f>
        <v>239.55684210526317</v>
      </c>
      <c r="M77" s="15">
        <f>C77*327.18/190</f>
        <v>292.74</v>
      </c>
      <c r="N77" s="15">
        <f>C77*44.11/190</f>
        <v>39.466842105263154</v>
      </c>
      <c r="O77" s="15">
        <f>C77*0.91/190</f>
        <v>0.81421052631578961</v>
      </c>
    </row>
    <row r="78" spans="1:15" ht="15.75" x14ac:dyDescent="0.25">
      <c r="A78" s="12" t="s">
        <v>92</v>
      </c>
      <c r="B78" s="13" t="s">
        <v>93</v>
      </c>
      <c r="C78" s="35">
        <v>200</v>
      </c>
      <c r="D78" s="36">
        <v>2.79</v>
      </c>
      <c r="E78" s="36">
        <v>2.5499999999999998</v>
      </c>
      <c r="F78" s="36">
        <v>13.27</v>
      </c>
      <c r="G78" s="36">
        <v>87.25</v>
      </c>
      <c r="H78" s="37">
        <v>0.02</v>
      </c>
      <c r="I78" s="37">
        <v>0.9</v>
      </c>
      <c r="J78" s="37">
        <v>0.02</v>
      </c>
      <c r="K78" s="37">
        <v>0</v>
      </c>
      <c r="L78" s="37">
        <v>102.01</v>
      </c>
      <c r="M78" s="37">
        <v>81.05</v>
      </c>
      <c r="N78" s="37">
        <v>15.6</v>
      </c>
      <c r="O78" s="37">
        <v>0.94</v>
      </c>
    </row>
    <row r="79" spans="1:15" ht="15.75" x14ac:dyDescent="0.25">
      <c r="A79" s="29"/>
      <c r="B79" s="13" t="s">
        <v>55</v>
      </c>
      <c r="C79" s="16">
        <v>60</v>
      </c>
      <c r="D79" s="15">
        <f>C79*6.9/100</f>
        <v>4.1399999999999997</v>
      </c>
      <c r="E79" s="19">
        <f>1*C79/100</f>
        <v>0.6</v>
      </c>
      <c r="F79" s="19">
        <f>C79*48.3/100</f>
        <v>28.98</v>
      </c>
      <c r="G79" s="19">
        <f>C79*235/100</f>
        <v>141</v>
      </c>
      <c r="H79" s="21">
        <f>C79*0.16/100</f>
        <v>9.6000000000000002E-2</v>
      </c>
      <c r="I79" s="21">
        <v>0</v>
      </c>
      <c r="J79" s="21">
        <v>0</v>
      </c>
      <c r="K79" s="21">
        <f>C79*1.3/100</f>
        <v>0.78</v>
      </c>
      <c r="L79" s="21">
        <f>C79*23/100</f>
        <v>13.8</v>
      </c>
      <c r="M79" s="21">
        <f>C79*87/100</f>
        <v>52.2</v>
      </c>
      <c r="N79" s="21">
        <f>C79*33/100</f>
        <v>19.8</v>
      </c>
      <c r="O79" s="21">
        <f>C79*2/100</f>
        <v>1.2</v>
      </c>
    </row>
    <row r="80" spans="1:15" ht="15.75" x14ac:dyDescent="0.25">
      <c r="A80" s="12" t="s">
        <v>26</v>
      </c>
      <c r="B80" s="17" t="s">
        <v>54</v>
      </c>
      <c r="C80" s="16">
        <v>10</v>
      </c>
      <c r="D80" s="15">
        <f>C80*0.1/10</f>
        <v>0.1</v>
      </c>
      <c r="E80" s="15">
        <f>C80*7.2/10</f>
        <v>7.2</v>
      </c>
      <c r="F80" s="15">
        <f>C80*0.1/10</f>
        <v>0.1</v>
      </c>
      <c r="G80" s="15">
        <f>C80*66/10</f>
        <v>66</v>
      </c>
      <c r="H80" s="18">
        <v>0</v>
      </c>
      <c r="I80" s="18">
        <f>C80*0.28/10</f>
        <v>0.28000000000000003</v>
      </c>
      <c r="J80" s="18">
        <v>0</v>
      </c>
      <c r="K80" s="18">
        <f>C80*0.1/10</f>
        <v>0.1</v>
      </c>
      <c r="L80" s="18">
        <f>C80*2.2/10</f>
        <v>2.2000000000000002</v>
      </c>
      <c r="M80" s="18">
        <f>C80*1.9/10</f>
        <v>1.9</v>
      </c>
      <c r="N80" s="18">
        <f>C80*0.3/10</f>
        <v>0.3</v>
      </c>
      <c r="O80" s="18">
        <f>C80*0.02/10</f>
        <v>0.02</v>
      </c>
    </row>
    <row r="81" spans="1:15" ht="15.75" x14ac:dyDescent="0.25">
      <c r="A81" s="29"/>
      <c r="B81" s="17" t="s">
        <v>94</v>
      </c>
      <c r="C81" s="16">
        <v>100</v>
      </c>
      <c r="D81" s="19">
        <v>0.4</v>
      </c>
      <c r="E81" s="19">
        <v>0.3</v>
      </c>
      <c r="F81" s="19">
        <v>10.3</v>
      </c>
      <c r="G81" s="19">
        <v>42.9</v>
      </c>
      <c r="H81" s="37">
        <v>0.02</v>
      </c>
      <c r="I81" s="37">
        <v>2.5</v>
      </c>
      <c r="J81" s="37">
        <v>0.01</v>
      </c>
      <c r="K81" s="37">
        <v>0.3</v>
      </c>
      <c r="L81" s="37">
        <v>19</v>
      </c>
      <c r="M81" s="37">
        <v>16</v>
      </c>
      <c r="N81" s="37">
        <v>6</v>
      </c>
      <c r="O81" s="37">
        <v>2.2999999999999998</v>
      </c>
    </row>
    <row r="82" spans="1:15" ht="15.75" x14ac:dyDescent="0.25">
      <c r="A82" s="41"/>
      <c r="B82" s="2" t="s">
        <v>34</v>
      </c>
      <c r="C82" s="24">
        <f t="shared" ref="C82:O82" si="9">SUM(C77:C81)</f>
        <v>540</v>
      </c>
      <c r="D82" s="34">
        <f t="shared" si="9"/>
        <v>33.574210526315788</v>
      </c>
      <c r="E82" s="34">
        <f t="shared" si="9"/>
        <v>21.476315789473684</v>
      </c>
      <c r="F82" s="34">
        <f t="shared" si="9"/>
        <v>78.686842105263153</v>
      </c>
      <c r="G82" s="34">
        <f t="shared" si="9"/>
        <v>643.35578947368424</v>
      </c>
      <c r="H82" s="34">
        <f t="shared" si="9"/>
        <v>0.20757894736842106</v>
      </c>
      <c r="I82" s="34">
        <f t="shared" si="9"/>
        <v>4.2257894736842108</v>
      </c>
      <c r="J82" s="34">
        <f t="shared" si="9"/>
        <v>0.11052631578947368</v>
      </c>
      <c r="K82" s="34">
        <f t="shared" si="9"/>
        <v>1.7168421052631582</v>
      </c>
      <c r="L82" s="34">
        <f t="shared" si="9"/>
        <v>376.56684210526316</v>
      </c>
      <c r="M82" s="34">
        <f t="shared" si="9"/>
        <v>443.89</v>
      </c>
      <c r="N82" s="34">
        <f t="shared" si="9"/>
        <v>81.166842105263157</v>
      </c>
      <c r="O82" s="34">
        <f t="shared" si="9"/>
        <v>5.2742105263157892</v>
      </c>
    </row>
    <row r="83" spans="1:15" ht="15.75" x14ac:dyDescent="0.25">
      <c r="A83" s="43"/>
      <c r="B83" s="2" t="s">
        <v>35</v>
      </c>
      <c r="C83" s="16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5.75" x14ac:dyDescent="0.25">
      <c r="A84" s="12" t="s">
        <v>95</v>
      </c>
      <c r="B84" s="17" t="s">
        <v>96</v>
      </c>
      <c r="C84" s="16">
        <v>250</v>
      </c>
      <c r="D84" s="15">
        <f>1.93*C84/250</f>
        <v>1.93</v>
      </c>
      <c r="E84" s="15">
        <f>6.34*C84/250</f>
        <v>6.34</v>
      </c>
      <c r="F84" s="15">
        <f>10.05*C84/250</f>
        <v>10.050000000000001</v>
      </c>
      <c r="G84" s="15">
        <f>104.16*C84/250</f>
        <v>104.16</v>
      </c>
      <c r="H84" s="15">
        <f>0.05*C84/250</f>
        <v>0.05</v>
      </c>
      <c r="I84" s="15">
        <f>4.56*C84/250</f>
        <v>4.5599999999999996</v>
      </c>
      <c r="J84" s="15">
        <f>0.01*C84/250</f>
        <v>0.01</v>
      </c>
      <c r="K84" s="15">
        <f>2.4*C84/250</f>
        <v>2.4</v>
      </c>
      <c r="L84" s="15">
        <v>81.150000000000006</v>
      </c>
      <c r="M84" s="15">
        <f>57.42*C84/250</f>
        <v>57.42</v>
      </c>
      <c r="N84" s="15">
        <f>39.41*C84/250</f>
        <v>39.409999999999997</v>
      </c>
      <c r="O84" s="15">
        <f>1.32*C84/250</f>
        <v>1.32</v>
      </c>
    </row>
    <row r="85" spans="1:15" ht="15.75" x14ac:dyDescent="0.25">
      <c r="A85" s="29" t="s">
        <v>38</v>
      </c>
      <c r="B85" s="17" t="s">
        <v>39</v>
      </c>
      <c r="C85" s="16">
        <v>180</v>
      </c>
      <c r="D85" s="15">
        <f>C85*3.68/100</f>
        <v>6.6239999999999997</v>
      </c>
      <c r="E85" s="15">
        <f>C85*3.53/100</f>
        <v>6.3540000000000001</v>
      </c>
      <c r="F85" s="15">
        <f>C85*23.55/100</f>
        <v>42.39</v>
      </c>
      <c r="G85" s="15">
        <f>C85*140.73/100</f>
        <v>253.31399999999996</v>
      </c>
      <c r="H85" s="15">
        <f>C85*0.05/100</f>
        <v>0.09</v>
      </c>
      <c r="I85" s="15">
        <v>0.03</v>
      </c>
      <c r="J85" s="15">
        <v>0</v>
      </c>
      <c r="K85" s="15">
        <f>C85*0.66/100</f>
        <v>1.1880000000000002</v>
      </c>
      <c r="L85" s="15">
        <f>C85*7.59/100</f>
        <v>13.662000000000001</v>
      </c>
      <c r="M85" s="15">
        <f>C85*31.43/100</f>
        <v>56.573999999999998</v>
      </c>
      <c r="N85" s="15">
        <v>11.57</v>
      </c>
      <c r="O85" s="15">
        <v>0.61</v>
      </c>
    </row>
    <row r="86" spans="1:15" ht="15.75" x14ac:dyDescent="0.25">
      <c r="A86" s="12" t="s">
        <v>97</v>
      </c>
      <c r="B86" s="58" t="s">
        <v>98</v>
      </c>
      <c r="C86" s="14">
        <v>100</v>
      </c>
      <c r="D86" s="15">
        <f>10.68*C86/100</f>
        <v>10.68</v>
      </c>
      <c r="E86" s="19">
        <f>11.72*C86/100</f>
        <v>11.72</v>
      </c>
      <c r="F86" s="19">
        <f>5.74*C86/100</f>
        <v>5.74</v>
      </c>
      <c r="G86" s="19">
        <f>176.75*C86/100</f>
        <v>176.75</v>
      </c>
      <c r="H86" s="21">
        <f>0.06*C86/100</f>
        <v>0.06</v>
      </c>
      <c r="I86" s="21">
        <f>0.13*C86/100</f>
        <v>0.13</v>
      </c>
      <c r="J86" s="21">
        <v>0</v>
      </c>
      <c r="K86" s="21">
        <f>0.65*C86/100</f>
        <v>0.65</v>
      </c>
      <c r="L86" s="21">
        <v>42.02</v>
      </c>
      <c r="M86" s="21">
        <f>112.06*C86/100</f>
        <v>112.06</v>
      </c>
      <c r="N86" s="21">
        <f>21.29*C86/100</f>
        <v>21.29</v>
      </c>
      <c r="O86" s="21">
        <f>0.93*C86/100</f>
        <v>0.93</v>
      </c>
    </row>
    <row r="87" spans="1:15" ht="15.75" x14ac:dyDescent="0.25">
      <c r="A87" s="29" t="s">
        <v>99</v>
      </c>
      <c r="B87" s="48" t="s">
        <v>100</v>
      </c>
      <c r="C87" s="16">
        <v>100</v>
      </c>
      <c r="D87" s="19">
        <f>C87*0.98/100</f>
        <v>0.98</v>
      </c>
      <c r="E87" s="19">
        <f>C87*5.13/100</f>
        <v>5.13</v>
      </c>
      <c r="F87" s="19">
        <f>C87*4.54/100</f>
        <v>4.54</v>
      </c>
      <c r="G87" s="19">
        <f>C87*65.81/100</f>
        <v>65.81</v>
      </c>
      <c r="H87" s="20">
        <f>C87*0.05/100</f>
        <v>0.05</v>
      </c>
      <c r="I87" s="20">
        <f>C87*18.27/100</f>
        <v>18.27</v>
      </c>
      <c r="J87" s="20">
        <f>C87*0.26/100</f>
        <v>0.26</v>
      </c>
      <c r="K87" s="20">
        <f>C87*4.63/100</f>
        <v>4.63</v>
      </c>
      <c r="L87" s="20">
        <f>C87*30.49/100</f>
        <v>30.49</v>
      </c>
      <c r="M87" s="20">
        <f>C87*37.26/100</f>
        <v>37.26</v>
      </c>
      <c r="N87" s="20">
        <f>C87*18.34/100</f>
        <v>18.34</v>
      </c>
      <c r="O87" s="20">
        <f>C87*0.86/100</f>
        <v>0.86</v>
      </c>
    </row>
    <row r="88" spans="1:15" ht="15.75" x14ac:dyDescent="0.25">
      <c r="A88" s="12" t="s">
        <v>101</v>
      </c>
      <c r="B88" s="48" t="s">
        <v>102</v>
      </c>
      <c r="C88" s="16">
        <v>200</v>
      </c>
      <c r="D88" s="15">
        <v>0.33</v>
      </c>
      <c r="E88" s="15">
        <v>0</v>
      </c>
      <c r="F88" s="15">
        <v>22.66</v>
      </c>
      <c r="G88" s="15">
        <v>91.98</v>
      </c>
      <c r="H88" s="15">
        <v>0.01</v>
      </c>
      <c r="I88" s="15">
        <v>0.28000000000000003</v>
      </c>
      <c r="J88" s="15">
        <v>0.01</v>
      </c>
      <c r="K88" s="15">
        <v>0.11</v>
      </c>
      <c r="L88" s="15">
        <v>61.84</v>
      </c>
      <c r="M88" s="15">
        <v>33.630000000000003</v>
      </c>
      <c r="N88" s="15">
        <v>25.2</v>
      </c>
      <c r="O88" s="15">
        <v>7.17</v>
      </c>
    </row>
    <row r="89" spans="1:15" ht="15.75" x14ac:dyDescent="0.25">
      <c r="A89" s="40"/>
      <c r="B89" s="17" t="s">
        <v>68</v>
      </c>
      <c r="C89" s="16">
        <v>50</v>
      </c>
      <c r="D89" s="15">
        <f>C89*6.9/100</f>
        <v>3.45</v>
      </c>
      <c r="E89" s="19">
        <f>1*C89/100</f>
        <v>0.5</v>
      </c>
      <c r="F89" s="19">
        <f>C89*48.3/100</f>
        <v>24.15</v>
      </c>
      <c r="G89" s="19">
        <f>C89*235/100</f>
        <v>117.5</v>
      </c>
      <c r="H89" s="21">
        <f>C89*0.16/100</f>
        <v>0.08</v>
      </c>
      <c r="I89" s="21">
        <v>0</v>
      </c>
      <c r="J89" s="21">
        <v>0</v>
      </c>
      <c r="K89" s="21">
        <f>C89*1.3/100</f>
        <v>0.65</v>
      </c>
      <c r="L89" s="21">
        <f>C89*23/100</f>
        <v>11.5</v>
      </c>
      <c r="M89" s="21">
        <f>C89*87/100</f>
        <v>43.5</v>
      </c>
      <c r="N89" s="21">
        <f>C89*33/100</f>
        <v>16.5</v>
      </c>
      <c r="O89" s="21">
        <f>C89*2/100</f>
        <v>1</v>
      </c>
    </row>
    <row r="90" spans="1:15" ht="15.75" x14ac:dyDescent="0.25">
      <c r="A90" s="40"/>
      <c r="B90" s="17" t="s">
        <v>69</v>
      </c>
      <c r="C90" s="16">
        <v>70</v>
      </c>
      <c r="D90" s="15">
        <f>C90*4.8/100</f>
        <v>3.36</v>
      </c>
      <c r="E90" s="19">
        <f>C90*1/100</f>
        <v>0.7</v>
      </c>
      <c r="F90" s="19">
        <f>C90*21.2/50</f>
        <v>29.68</v>
      </c>
      <c r="G90" s="19">
        <f>C90*100/50</f>
        <v>140</v>
      </c>
      <c r="H90" s="21">
        <f>C90*0.03/50</f>
        <v>4.2000000000000003E-2</v>
      </c>
      <c r="I90" s="21">
        <v>0</v>
      </c>
      <c r="J90" s="21">
        <v>0</v>
      </c>
      <c r="K90" s="21">
        <f>C90*0.07/50</f>
        <v>9.8000000000000004E-2</v>
      </c>
      <c r="L90" s="21">
        <f>C90*10.2/50</f>
        <v>14.28</v>
      </c>
      <c r="M90" s="21">
        <f>C90*42/50</f>
        <v>58.8</v>
      </c>
      <c r="N90" s="21">
        <f>C90*8.2/50</f>
        <v>11.48</v>
      </c>
      <c r="O90" s="21">
        <v>0.05</v>
      </c>
    </row>
    <row r="91" spans="1:15" ht="15.75" x14ac:dyDescent="0.25">
      <c r="A91" s="41"/>
      <c r="B91" s="115" t="s">
        <v>47</v>
      </c>
      <c r="C91" s="113">
        <f>SUM(C84:C90)</f>
        <v>950</v>
      </c>
      <c r="D91" s="116">
        <f>SUM(D84:D90)</f>
        <v>27.353999999999999</v>
      </c>
      <c r="E91" s="116">
        <f>SUM(E84:E90)</f>
        <v>30.744</v>
      </c>
      <c r="F91" s="116">
        <f>SUM(F84:F90)</f>
        <v>139.21</v>
      </c>
      <c r="G91" s="116">
        <f>SUM(G84:G90)</f>
        <v>949.5139999999999</v>
      </c>
      <c r="H91" s="116">
        <v>0.43</v>
      </c>
      <c r="I91" s="116">
        <f t="shared" ref="I91:N91" si="10">SUM(I84:I90)</f>
        <v>23.27</v>
      </c>
      <c r="J91" s="116">
        <f t="shared" si="10"/>
        <v>0.28000000000000003</v>
      </c>
      <c r="K91" s="116">
        <f t="shared" si="10"/>
        <v>9.7260000000000009</v>
      </c>
      <c r="L91" s="116">
        <f t="shared" si="10"/>
        <v>254.94200000000004</v>
      </c>
      <c r="M91" s="116">
        <f t="shared" si="10"/>
        <v>399.24400000000003</v>
      </c>
      <c r="N91" s="116">
        <f t="shared" si="10"/>
        <v>143.79</v>
      </c>
      <c r="O91" s="116">
        <v>9.32</v>
      </c>
    </row>
    <row r="92" spans="1:15" ht="15.75" x14ac:dyDescent="0.25">
      <c r="A92" s="10"/>
      <c r="B92" s="214" t="s">
        <v>103</v>
      </c>
      <c r="C92" s="215"/>
      <c r="D92" s="42">
        <f t="shared" ref="D92:O92" si="11">D82+D91</f>
        <v>60.928210526315787</v>
      </c>
      <c r="E92" s="42">
        <f t="shared" si="11"/>
        <v>52.220315789473688</v>
      </c>
      <c r="F92" s="42">
        <f t="shared" si="11"/>
        <v>217.89684210526315</v>
      </c>
      <c r="G92" s="42">
        <f t="shared" si="11"/>
        <v>1592.8697894736842</v>
      </c>
      <c r="H92" s="42">
        <f t="shared" si="11"/>
        <v>0.63757894736842102</v>
      </c>
      <c r="I92" s="42">
        <f t="shared" si="11"/>
        <v>27.495789473684212</v>
      </c>
      <c r="J92" s="42">
        <f t="shared" si="11"/>
        <v>0.39052631578947372</v>
      </c>
      <c r="K92" s="42">
        <f t="shared" si="11"/>
        <v>11.442842105263159</v>
      </c>
      <c r="L92" s="42">
        <f t="shared" si="11"/>
        <v>631.50884210526317</v>
      </c>
      <c r="M92" s="42">
        <f t="shared" si="11"/>
        <v>843.13400000000001</v>
      </c>
      <c r="N92" s="42">
        <f t="shared" si="11"/>
        <v>224.95684210526315</v>
      </c>
      <c r="O92" s="42">
        <f t="shared" si="11"/>
        <v>14.59421052631579</v>
      </c>
    </row>
    <row r="93" spans="1:15" ht="15.75" x14ac:dyDescent="0.25">
      <c r="A93" s="10"/>
      <c r="B93" s="214"/>
      <c r="C93" s="215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ht="15.75" x14ac:dyDescent="0.25">
      <c r="A94" s="10"/>
      <c r="B94" s="211" t="s">
        <v>104</v>
      </c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</row>
    <row r="95" spans="1:15" ht="15.75" x14ac:dyDescent="0.25">
      <c r="A95" s="203" t="s">
        <v>3</v>
      </c>
      <c r="B95" s="205" t="s">
        <v>4</v>
      </c>
      <c r="C95" s="218" t="s">
        <v>5</v>
      </c>
      <c r="D95" s="208" t="s">
        <v>6</v>
      </c>
      <c r="E95" s="208"/>
      <c r="F95" s="208"/>
      <c r="G95" s="206" t="s">
        <v>7</v>
      </c>
      <c r="H95" s="208" t="s">
        <v>8</v>
      </c>
      <c r="I95" s="208"/>
      <c r="J95" s="208"/>
      <c r="K95" s="208"/>
      <c r="L95" s="208" t="s">
        <v>9</v>
      </c>
      <c r="M95" s="208"/>
      <c r="N95" s="208"/>
      <c r="O95" s="208"/>
    </row>
    <row r="96" spans="1:15" ht="15.75" x14ac:dyDescent="0.25">
      <c r="A96" s="204"/>
      <c r="B96" s="205"/>
      <c r="C96" s="219"/>
      <c r="D96" s="52" t="s">
        <v>10</v>
      </c>
      <c r="E96" s="52" t="s">
        <v>11</v>
      </c>
      <c r="F96" s="52" t="s">
        <v>12</v>
      </c>
      <c r="G96" s="207"/>
      <c r="H96" s="52" t="s">
        <v>13</v>
      </c>
      <c r="I96" s="52" t="s">
        <v>14</v>
      </c>
      <c r="J96" s="52" t="s">
        <v>15</v>
      </c>
      <c r="K96" s="52" t="s">
        <v>16</v>
      </c>
      <c r="L96" s="52" t="s">
        <v>17</v>
      </c>
      <c r="M96" s="52" t="s">
        <v>18</v>
      </c>
      <c r="N96" s="52" t="s">
        <v>19</v>
      </c>
      <c r="O96" s="52" t="s">
        <v>20</v>
      </c>
    </row>
    <row r="97" spans="1:15" ht="15.75" x14ac:dyDescent="0.25">
      <c r="A97" s="6">
        <v>1</v>
      </c>
      <c r="B97" s="7">
        <v>2</v>
      </c>
      <c r="C97" s="8">
        <v>3</v>
      </c>
      <c r="D97" s="8">
        <v>4</v>
      </c>
      <c r="E97" s="8">
        <v>5</v>
      </c>
      <c r="F97" s="8">
        <v>6</v>
      </c>
      <c r="G97" s="9">
        <v>7</v>
      </c>
      <c r="H97" s="8">
        <v>8</v>
      </c>
      <c r="I97" s="8">
        <v>9</v>
      </c>
      <c r="J97" s="8">
        <v>10</v>
      </c>
      <c r="K97" s="8">
        <v>11</v>
      </c>
      <c r="L97" s="8">
        <v>12</v>
      </c>
      <c r="M97" s="8">
        <v>13</v>
      </c>
      <c r="N97" s="8">
        <v>14</v>
      </c>
      <c r="O97" s="8">
        <v>15</v>
      </c>
    </row>
    <row r="98" spans="1:15" ht="15.75" x14ac:dyDescent="0.25">
      <c r="A98" s="43"/>
      <c r="B98" s="54" t="s">
        <v>21</v>
      </c>
      <c r="C98" s="1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5.75" x14ac:dyDescent="0.25">
      <c r="A99" s="12" t="s">
        <v>105</v>
      </c>
      <c r="B99" s="13" t="s">
        <v>106</v>
      </c>
      <c r="C99" s="16">
        <v>170</v>
      </c>
      <c r="D99" s="15">
        <f>C99*7.33/70</f>
        <v>17.80142857142857</v>
      </c>
      <c r="E99" s="15">
        <f>C99*10.6/70</f>
        <v>25.742857142857144</v>
      </c>
      <c r="F99" s="15">
        <f>C99*1.15/70</f>
        <v>2.7928571428571423</v>
      </c>
      <c r="G99" s="15">
        <f>C99*130.42/70</f>
        <v>316.7342857142857</v>
      </c>
      <c r="H99" s="15">
        <f>C99*0.32/70</f>
        <v>0.77714285714285714</v>
      </c>
      <c r="I99" s="15">
        <f>C99*0.2/70</f>
        <v>0.48571428571428571</v>
      </c>
      <c r="J99" s="15">
        <f>C99*0.08/70</f>
        <v>0.19428571428571428</v>
      </c>
      <c r="K99" s="15">
        <f>C99*0.41/70</f>
        <v>0.99571428571428577</v>
      </c>
      <c r="L99" s="15">
        <f>C99*175.63/70</f>
        <v>426.53</v>
      </c>
      <c r="M99" s="15">
        <f>C99*117.4/70</f>
        <v>285.1142857142857</v>
      </c>
      <c r="N99" s="15">
        <f>C99*11.99/70</f>
        <v>29.118571428571428</v>
      </c>
      <c r="O99" s="15">
        <f>C99*0.54/70</f>
        <v>1.3114285714285716</v>
      </c>
    </row>
    <row r="100" spans="1:15" ht="15.75" x14ac:dyDescent="0.25">
      <c r="A100" s="12" t="s">
        <v>26</v>
      </c>
      <c r="B100" s="13" t="s">
        <v>27</v>
      </c>
      <c r="C100" s="16">
        <v>10</v>
      </c>
      <c r="D100" s="15">
        <f>C100*0.1/10</f>
        <v>0.1</v>
      </c>
      <c r="E100" s="15">
        <f>C100*7.2/10</f>
        <v>7.2</v>
      </c>
      <c r="F100" s="15">
        <f>C100*0.1/10</f>
        <v>0.1</v>
      </c>
      <c r="G100" s="15">
        <f>C100*66/10</f>
        <v>66</v>
      </c>
      <c r="H100" s="18">
        <v>0</v>
      </c>
      <c r="I100" s="18">
        <f>C100*0.28/10</f>
        <v>0.28000000000000003</v>
      </c>
      <c r="J100" s="18">
        <v>0</v>
      </c>
      <c r="K100" s="18">
        <f>C100*0.1/10</f>
        <v>0.1</v>
      </c>
      <c r="L100" s="18">
        <f>C100*2.2/10</f>
        <v>2.2000000000000002</v>
      </c>
      <c r="M100" s="18">
        <f>C100*1.9/10</f>
        <v>1.9</v>
      </c>
      <c r="N100" s="18">
        <f>C100*0.3/10</f>
        <v>0.3</v>
      </c>
      <c r="O100" s="18">
        <f>C100*0.02/10</f>
        <v>0.02</v>
      </c>
    </row>
    <row r="101" spans="1:15" ht="15.75" x14ac:dyDescent="0.25">
      <c r="A101" s="12"/>
      <c r="B101" s="17" t="s">
        <v>55</v>
      </c>
      <c r="C101" s="16">
        <v>52</v>
      </c>
      <c r="D101" s="15">
        <f>C101*6.9/100</f>
        <v>3.5880000000000001</v>
      </c>
      <c r="E101" s="19">
        <f>1*C101/100</f>
        <v>0.52</v>
      </c>
      <c r="F101" s="19">
        <f>C101*48.3/100</f>
        <v>25.116</v>
      </c>
      <c r="G101" s="19">
        <f>C101*235/100</f>
        <v>122.2</v>
      </c>
      <c r="H101" s="21">
        <f>C101*0.16/100</f>
        <v>8.3199999999999996E-2</v>
      </c>
      <c r="I101" s="21">
        <v>0</v>
      </c>
      <c r="J101" s="21">
        <v>0</v>
      </c>
      <c r="K101" s="21">
        <f>C101*1.3/100</f>
        <v>0.67600000000000005</v>
      </c>
      <c r="L101" s="21">
        <f>C101*23/100</f>
        <v>11.96</v>
      </c>
      <c r="M101" s="21">
        <f>C101*87/100</f>
        <v>45.24</v>
      </c>
      <c r="N101" s="21">
        <f>C101*33/100</f>
        <v>17.16</v>
      </c>
      <c r="O101" s="21">
        <f>C101*2/100</f>
        <v>1.04</v>
      </c>
    </row>
    <row r="102" spans="1:15" ht="15.75" x14ac:dyDescent="0.25">
      <c r="A102" s="12" t="s">
        <v>24</v>
      </c>
      <c r="B102" s="17" t="s">
        <v>107</v>
      </c>
      <c r="C102" s="16">
        <v>200</v>
      </c>
      <c r="D102" s="15">
        <v>2.79</v>
      </c>
      <c r="E102" s="15">
        <v>3.19</v>
      </c>
      <c r="F102" s="15">
        <v>19.71</v>
      </c>
      <c r="G102" s="15">
        <v>118.69</v>
      </c>
      <c r="H102" s="15">
        <v>0.03</v>
      </c>
      <c r="I102" s="15">
        <v>1</v>
      </c>
      <c r="J102" s="15">
        <v>0.02</v>
      </c>
      <c r="K102" s="15">
        <v>0.05</v>
      </c>
      <c r="L102" s="15">
        <v>141.30000000000001</v>
      </c>
      <c r="M102" s="15">
        <v>91</v>
      </c>
      <c r="N102" s="15">
        <v>14</v>
      </c>
      <c r="O102" s="15">
        <v>0.14000000000000001</v>
      </c>
    </row>
    <row r="103" spans="1:15" ht="15.75" x14ac:dyDescent="0.25">
      <c r="A103" s="12"/>
      <c r="B103" s="17" t="s">
        <v>77</v>
      </c>
      <c r="C103" s="16">
        <v>100</v>
      </c>
      <c r="D103" s="19">
        <f>C103*1.5/100</f>
        <v>1.5</v>
      </c>
      <c r="E103" s="19">
        <f>C103*0.5/100</f>
        <v>0.5</v>
      </c>
      <c r="F103" s="19">
        <f>C103*21/100</f>
        <v>21</v>
      </c>
      <c r="G103" s="19">
        <f>C103*89.3/100</f>
        <v>89.3</v>
      </c>
      <c r="H103" s="20">
        <v>0.1</v>
      </c>
      <c r="I103" s="20">
        <f>C103*5/100</f>
        <v>5</v>
      </c>
      <c r="J103" s="20">
        <f>C103*0.1/100</f>
        <v>0.1</v>
      </c>
      <c r="K103" s="20">
        <f>C103*0.2/100</f>
        <v>0.2</v>
      </c>
      <c r="L103" s="20">
        <f>C103*8/100</f>
        <v>8</v>
      </c>
      <c r="M103" s="20">
        <f>C103*28/100</f>
        <v>28</v>
      </c>
      <c r="N103" s="20">
        <f>C103*22/100</f>
        <v>22</v>
      </c>
      <c r="O103" s="20">
        <f>C103*0.6/100</f>
        <v>0.6</v>
      </c>
    </row>
    <row r="104" spans="1:15" ht="15.75" x14ac:dyDescent="0.25">
      <c r="A104" s="12"/>
      <c r="B104" s="23" t="s">
        <v>34</v>
      </c>
      <c r="C104" s="24">
        <f t="shared" ref="C104:O104" si="12">SUM(C99:C103)</f>
        <v>532</v>
      </c>
      <c r="D104" s="34">
        <f t="shared" si="12"/>
        <v>25.779428571428571</v>
      </c>
      <c r="E104" s="34">
        <f t="shared" si="12"/>
        <v>37.152857142857144</v>
      </c>
      <c r="F104" s="34">
        <f t="shared" si="12"/>
        <v>68.718857142857146</v>
      </c>
      <c r="G104" s="34">
        <f t="shared" si="12"/>
        <v>712.92428571428559</v>
      </c>
      <c r="H104" s="34">
        <f t="shared" si="12"/>
        <v>0.99034285714285708</v>
      </c>
      <c r="I104" s="34">
        <f t="shared" si="12"/>
        <v>6.765714285714286</v>
      </c>
      <c r="J104" s="34">
        <f t="shared" si="12"/>
        <v>0.31428571428571428</v>
      </c>
      <c r="K104" s="34">
        <f t="shared" si="12"/>
        <v>2.0217142857142858</v>
      </c>
      <c r="L104" s="34">
        <f t="shared" si="12"/>
        <v>589.99</v>
      </c>
      <c r="M104" s="34">
        <f t="shared" si="12"/>
        <v>451.25428571428569</v>
      </c>
      <c r="N104" s="34">
        <f t="shared" si="12"/>
        <v>82.578571428571422</v>
      </c>
      <c r="O104" s="34">
        <f t="shared" si="12"/>
        <v>3.1114285714285721</v>
      </c>
    </row>
    <row r="105" spans="1:15" ht="15.75" x14ac:dyDescent="0.25">
      <c r="A105" s="10"/>
      <c r="B105" s="2" t="s">
        <v>35</v>
      </c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9.5" customHeight="1" x14ac:dyDescent="0.25">
      <c r="A106" s="60" t="s">
        <v>108</v>
      </c>
      <c r="B106" s="61" t="s">
        <v>109</v>
      </c>
      <c r="C106" s="14">
        <v>250</v>
      </c>
      <c r="D106" s="15">
        <f>C106*2.09/250</f>
        <v>2.09</v>
      </c>
      <c r="E106" s="19">
        <f>C106*6.33/250</f>
        <v>6.33</v>
      </c>
      <c r="F106" s="19">
        <f>C106*10.64/250</f>
        <v>10.64</v>
      </c>
      <c r="G106" s="19">
        <f>C106*107.83/250</f>
        <v>107.83</v>
      </c>
      <c r="H106" s="19">
        <f>C106*0.05/250</f>
        <v>0.05</v>
      </c>
      <c r="I106" s="19">
        <f>C106*14.36/250</f>
        <v>14.36</v>
      </c>
      <c r="J106" s="19">
        <f>C106*0.15/250</f>
        <v>0.15</v>
      </c>
      <c r="K106" s="19">
        <f>C106*0.22/250</f>
        <v>0.22</v>
      </c>
      <c r="L106" s="19">
        <v>81.5</v>
      </c>
      <c r="M106" s="19">
        <f>C106*60.89/250</f>
        <v>60.89</v>
      </c>
      <c r="N106" s="19">
        <f>C106*35.8/250</f>
        <v>35.799999999999997</v>
      </c>
      <c r="O106" s="19">
        <f>C106*1.12/250</f>
        <v>1.1200000000000001</v>
      </c>
    </row>
    <row r="107" spans="1:15" ht="15.75" x14ac:dyDescent="0.25">
      <c r="A107" s="12" t="s">
        <v>110</v>
      </c>
      <c r="B107" s="17" t="s">
        <v>111</v>
      </c>
      <c r="C107" s="16">
        <v>180</v>
      </c>
      <c r="D107" s="15">
        <f>C107*5.82/100</f>
        <v>10.476000000000001</v>
      </c>
      <c r="E107" s="19">
        <f>C107*3.62/100</f>
        <v>6.516</v>
      </c>
      <c r="F107" s="19">
        <f>C107*30/100</f>
        <v>54</v>
      </c>
      <c r="G107" s="19">
        <f>C107*175.87/100</f>
        <v>316.56600000000003</v>
      </c>
      <c r="H107" s="21">
        <f>C107*0.14/100</f>
        <v>0.252</v>
      </c>
      <c r="I107" s="21">
        <f>C107*0.13/100</f>
        <v>0.23400000000000001</v>
      </c>
      <c r="J107" s="21">
        <v>0</v>
      </c>
      <c r="K107" s="21">
        <f>C107*0.32/100</f>
        <v>0.57600000000000007</v>
      </c>
      <c r="L107" s="21">
        <v>58.64</v>
      </c>
      <c r="M107" s="21">
        <f>C107*135.17/100</f>
        <v>243.30599999999998</v>
      </c>
      <c r="N107" s="21">
        <f>C107*35.29/100</f>
        <v>63.521999999999998</v>
      </c>
      <c r="O107" s="21">
        <v>2</v>
      </c>
    </row>
    <row r="108" spans="1:15" ht="15.75" x14ac:dyDescent="0.25">
      <c r="A108" s="12" t="s">
        <v>97</v>
      </c>
      <c r="B108" s="17" t="s">
        <v>112</v>
      </c>
      <c r="C108" s="14">
        <v>100</v>
      </c>
      <c r="D108" s="15">
        <f>10.68*C108/100</f>
        <v>10.68</v>
      </c>
      <c r="E108" s="19">
        <f>11.72*C108/100</f>
        <v>11.72</v>
      </c>
      <c r="F108" s="19">
        <f>5.74*C108/100</f>
        <v>5.74</v>
      </c>
      <c r="G108" s="19">
        <f>176.75*C108/100</f>
        <v>176.75</v>
      </c>
      <c r="H108" s="21">
        <f>0.06*C108/100</f>
        <v>0.06</v>
      </c>
      <c r="I108" s="21">
        <f>0.13*C108/100</f>
        <v>0.13</v>
      </c>
      <c r="J108" s="21">
        <v>0</v>
      </c>
      <c r="K108" s="21">
        <f>0.65*C108/100</f>
        <v>0.65</v>
      </c>
      <c r="L108" s="21">
        <v>42.02</v>
      </c>
      <c r="M108" s="21">
        <f>112.06*C108/100</f>
        <v>112.06</v>
      </c>
      <c r="N108" s="21">
        <f>21.29*C108/100</f>
        <v>21.29</v>
      </c>
      <c r="O108" s="21">
        <f>0.93*C108/100</f>
        <v>0.93</v>
      </c>
    </row>
    <row r="109" spans="1:15" ht="15.75" x14ac:dyDescent="0.25">
      <c r="A109" s="12" t="s">
        <v>113</v>
      </c>
      <c r="B109" s="17" t="s">
        <v>114</v>
      </c>
      <c r="C109" s="16">
        <v>60</v>
      </c>
      <c r="D109" s="15">
        <f>C109*0.85/100</f>
        <v>0.51</v>
      </c>
      <c r="E109" s="19">
        <f>C109*5.08/100</f>
        <v>3.048</v>
      </c>
      <c r="F109" s="19">
        <f>C109*3.31/100</f>
        <v>1.986</v>
      </c>
      <c r="G109" s="19">
        <f>C109*61.5/100</f>
        <v>36.9</v>
      </c>
      <c r="H109" s="21">
        <f>C109*0.02/100</f>
        <v>1.2E-2</v>
      </c>
      <c r="I109" s="21">
        <f>C109*5/100</f>
        <v>3</v>
      </c>
      <c r="J109" s="21">
        <v>0.19</v>
      </c>
      <c r="K109" s="21">
        <f>C109*2.32/100</f>
        <v>1.3919999999999999</v>
      </c>
      <c r="L109" s="21">
        <f>C109*38.86/100</f>
        <v>23.315999999999999</v>
      </c>
      <c r="M109" s="21">
        <f>C109*28.03/100</f>
        <v>16.818000000000001</v>
      </c>
      <c r="N109" s="21">
        <f>C109*12.42/100</f>
        <v>7.4520000000000008</v>
      </c>
      <c r="O109" s="21">
        <f>C109*1.21/100</f>
        <v>0.72599999999999998</v>
      </c>
    </row>
    <row r="110" spans="1:15" ht="15.75" x14ac:dyDescent="0.25">
      <c r="A110" s="62" t="s">
        <v>115</v>
      </c>
      <c r="B110" s="17" t="s">
        <v>116</v>
      </c>
      <c r="C110" s="16">
        <v>50</v>
      </c>
      <c r="D110" s="57">
        <f>C110*2.73/200</f>
        <v>0.6825</v>
      </c>
      <c r="E110" s="57">
        <f>C110*10.45/200</f>
        <v>2.6124999999999998</v>
      </c>
      <c r="F110" s="57">
        <f>C110*14.72/200</f>
        <v>3.68</v>
      </c>
      <c r="G110" s="57">
        <f>C110*157.3/200</f>
        <v>39.325000000000003</v>
      </c>
      <c r="H110" s="57">
        <f>C110*0.09/200</f>
        <v>2.2499999999999999E-2</v>
      </c>
      <c r="I110" s="57">
        <v>0</v>
      </c>
      <c r="J110" s="57">
        <v>0</v>
      </c>
      <c r="K110" s="57">
        <f>C110*4.7/200</f>
        <v>1.175</v>
      </c>
      <c r="L110" s="57">
        <v>55.31</v>
      </c>
      <c r="M110" s="57">
        <f>C110*63.69/200</f>
        <v>15.922499999999999</v>
      </c>
      <c r="N110" s="57">
        <v>0</v>
      </c>
      <c r="O110" s="57">
        <f>C110*1.72/200</f>
        <v>0.43</v>
      </c>
    </row>
    <row r="111" spans="1:15" ht="15.75" x14ac:dyDescent="0.25">
      <c r="A111" s="29" t="s">
        <v>31</v>
      </c>
      <c r="B111" s="17" t="s">
        <v>76</v>
      </c>
      <c r="C111" s="16">
        <v>200</v>
      </c>
      <c r="D111" s="19">
        <v>2</v>
      </c>
      <c r="E111" s="19">
        <v>0.2</v>
      </c>
      <c r="F111" s="19">
        <v>5.8</v>
      </c>
      <c r="G111" s="19">
        <v>36</v>
      </c>
      <c r="H111" s="37">
        <v>0.04</v>
      </c>
      <c r="I111" s="37">
        <v>8</v>
      </c>
      <c r="J111" s="37">
        <v>0.01</v>
      </c>
      <c r="K111" s="37">
        <v>0.2</v>
      </c>
      <c r="L111" s="37">
        <v>40</v>
      </c>
      <c r="M111" s="37">
        <v>36</v>
      </c>
      <c r="N111" s="37">
        <v>20</v>
      </c>
      <c r="O111" s="37">
        <v>0.4</v>
      </c>
    </row>
    <row r="112" spans="1:15" ht="15.75" x14ac:dyDescent="0.25">
      <c r="A112" s="40"/>
      <c r="B112" s="17" t="s">
        <v>68</v>
      </c>
      <c r="C112" s="16">
        <v>45</v>
      </c>
      <c r="D112" s="15">
        <f>C112*6.9/100</f>
        <v>3.105</v>
      </c>
      <c r="E112" s="19">
        <f>1*C112/100</f>
        <v>0.45</v>
      </c>
      <c r="F112" s="19">
        <f>C112*48.3/100</f>
        <v>21.734999999999999</v>
      </c>
      <c r="G112" s="19">
        <f>C112*235/100</f>
        <v>105.75</v>
      </c>
      <c r="H112" s="21">
        <f>C112*0.16/100</f>
        <v>7.2000000000000008E-2</v>
      </c>
      <c r="I112" s="21">
        <v>0</v>
      </c>
      <c r="J112" s="21">
        <v>0</v>
      </c>
      <c r="K112" s="21">
        <f>C112*1.3/100</f>
        <v>0.58499999999999996</v>
      </c>
      <c r="L112" s="21">
        <f>C112*23/100</f>
        <v>10.35</v>
      </c>
      <c r="M112" s="21">
        <f>C112*87/100</f>
        <v>39.15</v>
      </c>
      <c r="N112" s="21">
        <f>C112*33/100</f>
        <v>14.85</v>
      </c>
      <c r="O112" s="21">
        <f>C112*2/100</f>
        <v>0.9</v>
      </c>
    </row>
    <row r="113" spans="1:15" ht="15.75" x14ac:dyDescent="0.25">
      <c r="A113" s="40"/>
      <c r="B113" s="17" t="s">
        <v>69</v>
      </c>
      <c r="C113" s="16">
        <v>50</v>
      </c>
      <c r="D113" s="15">
        <f>C113*4.8/100</f>
        <v>2.4</v>
      </c>
      <c r="E113" s="19">
        <f>C113*1/100</f>
        <v>0.5</v>
      </c>
      <c r="F113" s="19">
        <f>C113*21.2/50</f>
        <v>21.2</v>
      </c>
      <c r="G113" s="19">
        <f>C113*100/50</f>
        <v>100</v>
      </c>
      <c r="H113" s="21">
        <f>C113*0.03/50</f>
        <v>0.03</v>
      </c>
      <c r="I113" s="21">
        <v>0</v>
      </c>
      <c r="J113" s="21">
        <v>0</v>
      </c>
      <c r="K113" s="21">
        <f>C113*0.07/50</f>
        <v>7.0000000000000007E-2</v>
      </c>
      <c r="L113" s="21">
        <f>C113*10.2/50</f>
        <v>10.199999999999999</v>
      </c>
      <c r="M113" s="21">
        <f>C113*42/50</f>
        <v>42</v>
      </c>
      <c r="N113" s="21">
        <f>C113*8.2/50</f>
        <v>8.1999999999999993</v>
      </c>
      <c r="O113" s="21">
        <v>0.05</v>
      </c>
    </row>
    <row r="114" spans="1:15" ht="15.75" x14ac:dyDescent="0.25">
      <c r="A114" s="43"/>
      <c r="B114" s="118" t="s">
        <v>47</v>
      </c>
      <c r="C114" s="113">
        <f>SUM(C106:C113)</f>
        <v>935</v>
      </c>
      <c r="D114" s="116">
        <f t="shared" ref="D114:O114" si="13">SUM(D106:D113)</f>
        <v>31.943500000000004</v>
      </c>
      <c r="E114" s="116">
        <f t="shared" si="13"/>
        <v>31.376500000000004</v>
      </c>
      <c r="F114" s="116">
        <f t="shared" si="13"/>
        <v>124.78100000000001</v>
      </c>
      <c r="G114" s="116">
        <f t="shared" si="13"/>
        <v>919.12099999999998</v>
      </c>
      <c r="H114" s="116">
        <f t="shared" si="13"/>
        <v>0.53849999999999998</v>
      </c>
      <c r="I114" s="116">
        <f t="shared" si="13"/>
        <v>25.724</v>
      </c>
      <c r="J114" s="116">
        <f t="shared" si="13"/>
        <v>0.35</v>
      </c>
      <c r="K114" s="116">
        <f t="shared" si="13"/>
        <v>4.8680000000000003</v>
      </c>
      <c r="L114" s="116">
        <f t="shared" si="13"/>
        <v>321.33600000000001</v>
      </c>
      <c r="M114" s="116">
        <f t="shared" si="13"/>
        <v>566.14649999999995</v>
      </c>
      <c r="N114" s="116">
        <f t="shared" si="13"/>
        <v>171.11399999999998</v>
      </c>
      <c r="O114" s="116">
        <f t="shared" si="13"/>
        <v>6.556</v>
      </c>
    </row>
    <row r="115" spans="1:15" ht="15.75" x14ac:dyDescent="0.25">
      <c r="A115" s="12"/>
      <c r="B115" s="63" t="s">
        <v>103</v>
      </c>
      <c r="C115" s="64"/>
      <c r="D115" s="65">
        <f t="shared" ref="D115:O115" si="14">D104+D114</f>
        <v>57.722928571428575</v>
      </c>
      <c r="E115" s="65">
        <f t="shared" si="14"/>
        <v>68.529357142857151</v>
      </c>
      <c r="F115" s="65">
        <f t="shared" si="14"/>
        <v>193.49985714285714</v>
      </c>
      <c r="G115" s="65">
        <f t="shared" si="14"/>
        <v>1632.0452857142855</v>
      </c>
      <c r="H115" s="65">
        <f t="shared" si="14"/>
        <v>1.5288428571428572</v>
      </c>
      <c r="I115" s="65">
        <f t="shared" si="14"/>
        <v>32.489714285714285</v>
      </c>
      <c r="J115" s="65">
        <f t="shared" si="14"/>
        <v>0.66428571428571426</v>
      </c>
      <c r="K115" s="65">
        <f t="shared" si="14"/>
        <v>6.8897142857142857</v>
      </c>
      <c r="L115" s="65">
        <f t="shared" si="14"/>
        <v>911.32600000000002</v>
      </c>
      <c r="M115" s="65">
        <f t="shared" si="14"/>
        <v>1017.4007857142856</v>
      </c>
      <c r="N115" s="65">
        <f t="shared" si="14"/>
        <v>253.6925714285714</v>
      </c>
      <c r="O115" s="65">
        <f t="shared" si="14"/>
        <v>9.667428571428573</v>
      </c>
    </row>
    <row r="116" spans="1:15" ht="15.75" x14ac:dyDescent="0.25">
      <c r="A116" s="12"/>
      <c r="B116" s="78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5.75" x14ac:dyDescent="0.25">
      <c r="A117" s="12"/>
      <c r="B117" s="66" t="s">
        <v>117</v>
      </c>
      <c r="C117" s="67"/>
      <c r="D117" s="68">
        <f>D16+D38+D61+D82+D104</f>
        <v>111.81363909774436</v>
      </c>
      <c r="E117" s="68">
        <f t="shared" ref="E117:O117" si="15">E16+E38+E61+E82+E104</f>
        <v>122.90917293233083</v>
      </c>
      <c r="F117" s="68">
        <f t="shared" si="15"/>
        <v>469.81569924812027</v>
      </c>
      <c r="G117" s="68">
        <f t="shared" si="15"/>
        <v>3436.1500751879694</v>
      </c>
      <c r="H117" s="68">
        <f t="shared" si="15"/>
        <v>2.1209218045112781</v>
      </c>
      <c r="I117" s="68">
        <f t="shared" si="15"/>
        <v>41.001503759398503</v>
      </c>
      <c r="J117" s="68">
        <f t="shared" si="15"/>
        <v>0.8398120300751879</v>
      </c>
      <c r="K117" s="68">
        <f t="shared" si="15"/>
        <v>9.4885563909774433</v>
      </c>
      <c r="L117" s="68">
        <f t="shared" si="15"/>
        <v>2056.4968421052636</v>
      </c>
      <c r="M117" s="68">
        <f t="shared" si="15"/>
        <v>1984.1842857142856</v>
      </c>
      <c r="N117" s="68">
        <f t="shared" si="15"/>
        <v>440.69541353383454</v>
      </c>
      <c r="O117" s="68">
        <f t="shared" si="15"/>
        <v>22.625639097744362</v>
      </c>
    </row>
    <row r="118" spans="1:15" ht="15.75" x14ac:dyDescent="0.25">
      <c r="A118" s="12"/>
      <c r="B118" s="121" t="s">
        <v>118</v>
      </c>
      <c r="C118" s="122"/>
      <c r="D118" s="123">
        <f>D25+D47+D70+D91+D114</f>
        <v>156.50750000000002</v>
      </c>
      <c r="E118" s="123">
        <f t="shared" ref="E118:O118" si="16">E25+E47+E70+E91+E114</f>
        <v>163.55308536585366</v>
      </c>
      <c r="F118" s="123">
        <f t="shared" si="16"/>
        <v>692.59100000000012</v>
      </c>
      <c r="G118" s="123">
        <f t="shared" si="16"/>
        <v>4784.9738780487805</v>
      </c>
      <c r="H118" s="123">
        <f t="shared" si="16"/>
        <v>2.3914999999999997</v>
      </c>
      <c r="I118" s="123">
        <f t="shared" si="16"/>
        <v>137.84873170731706</v>
      </c>
      <c r="J118" s="123">
        <f t="shared" si="16"/>
        <v>0.97234146341463423</v>
      </c>
      <c r="K118" s="123">
        <f t="shared" si="16"/>
        <v>45.691385365853662</v>
      </c>
      <c r="L118" s="123">
        <f t="shared" si="16"/>
        <v>1273.174</v>
      </c>
      <c r="M118" s="123">
        <f t="shared" si="16"/>
        <v>2398.0756219512195</v>
      </c>
      <c r="N118" s="123">
        <f t="shared" si="16"/>
        <v>740.00668292682917</v>
      </c>
      <c r="O118" s="123">
        <f t="shared" si="16"/>
        <v>38.811999999999998</v>
      </c>
    </row>
    <row r="119" spans="1:15" ht="15.75" x14ac:dyDescent="0.25">
      <c r="A119" s="12"/>
      <c r="B119" s="17"/>
      <c r="C119" s="55"/>
      <c r="D119" s="56"/>
      <c r="E119" s="56"/>
      <c r="F119" s="56"/>
      <c r="G119" s="56"/>
      <c r="H119" s="15"/>
      <c r="I119" s="15"/>
      <c r="J119" s="15"/>
      <c r="K119" s="15"/>
      <c r="L119" s="15"/>
      <c r="M119" s="15"/>
      <c r="N119" s="15"/>
      <c r="O119" s="15"/>
    </row>
    <row r="120" spans="1:15" ht="15.75" x14ac:dyDescent="0.25">
      <c r="A120" s="69"/>
      <c r="B120" s="70" t="s">
        <v>119</v>
      </c>
      <c r="C120" s="71"/>
      <c r="D120" s="71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ht="15.75" x14ac:dyDescent="0.25">
      <c r="A121" s="72"/>
      <c r="B121" s="73" t="s">
        <v>1</v>
      </c>
      <c r="C121" s="71"/>
      <c r="D121" s="71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1:15" ht="15.75" x14ac:dyDescent="0.25">
      <c r="A122" s="72"/>
      <c r="B122" s="199" t="s">
        <v>172</v>
      </c>
      <c r="C122" s="200"/>
      <c r="D122" s="200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1:15" ht="15.75" x14ac:dyDescent="0.25">
      <c r="A123" s="72"/>
      <c r="B123" s="71"/>
      <c r="C123" s="71"/>
      <c r="D123" s="71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ht="15.75" x14ac:dyDescent="0.25">
      <c r="A124" s="222" t="s">
        <v>120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4"/>
    </row>
    <row r="125" spans="1:15" ht="15.75" x14ac:dyDescent="0.25">
      <c r="A125" s="203" t="s">
        <v>3</v>
      </c>
      <c r="B125" s="216" t="s">
        <v>4</v>
      </c>
      <c r="C125" s="209" t="s">
        <v>5</v>
      </c>
      <c r="D125" s="208" t="s">
        <v>6</v>
      </c>
      <c r="E125" s="208"/>
      <c r="F125" s="208"/>
      <c r="G125" s="209" t="s">
        <v>7</v>
      </c>
      <c r="H125" s="208" t="s">
        <v>8</v>
      </c>
      <c r="I125" s="208"/>
      <c r="J125" s="208"/>
      <c r="K125" s="208"/>
      <c r="L125" s="208" t="s">
        <v>9</v>
      </c>
      <c r="M125" s="208"/>
      <c r="N125" s="208"/>
      <c r="O125" s="208"/>
    </row>
    <row r="126" spans="1:15" ht="15.75" x14ac:dyDescent="0.25">
      <c r="A126" s="204"/>
      <c r="B126" s="217"/>
      <c r="C126" s="210"/>
      <c r="D126" s="52" t="s">
        <v>10</v>
      </c>
      <c r="E126" s="52" t="s">
        <v>11</v>
      </c>
      <c r="F126" s="52" t="s">
        <v>12</v>
      </c>
      <c r="G126" s="210"/>
      <c r="H126" s="5" t="s">
        <v>13</v>
      </c>
      <c r="I126" s="5" t="s">
        <v>14</v>
      </c>
      <c r="J126" s="5" t="s">
        <v>15</v>
      </c>
      <c r="K126" s="5" t="s">
        <v>16</v>
      </c>
      <c r="L126" s="5" t="s">
        <v>17</v>
      </c>
      <c r="M126" s="5" t="s">
        <v>18</v>
      </c>
      <c r="N126" s="5" t="s">
        <v>19</v>
      </c>
      <c r="O126" s="5" t="s">
        <v>20</v>
      </c>
    </row>
    <row r="127" spans="1:15" ht="15.75" x14ac:dyDescent="0.25">
      <c r="A127" s="6">
        <v>1</v>
      </c>
      <c r="B127" s="7">
        <v>2</v>
      </c>
      <c r="C127" s="8">
        <v>3</v>
      </c>
      <c r="D127" s="8">
        <v>4</v>
      </c>
      <c r="E127" s="8">
        <v>5</v>
      </c>
      <c r="F127" s="8">
        <v>6</v>
      </c>
      <c r="G127" s="9">
        <v>7</v>
      </c>
      <c r="H127" s="8">
        <v>8</v>
      </c>
      <c r="I127" s="8">
        <v>9</v>
      </c>
      <c r="J127" s="8">
        <v>10</v>
      </c>
      <c r="K127" s="8">
        <v>11</v>
      </c>
      <c r="L127" s="8">
        <v>12</v>
      </c>
      <c r="M127" s="8">
        <v>13</v>
      </c>
      <c r="N127" s="8">
        <v>14</v>
      </c>
      <c r="O127" s="8">
        <v>15</v>
      </c>
    </row>
    <row r="128" spans="1:15" ht="15.75" x14ac:dyDescent="0.25">
      <c r="A128" s="74"/>
      <c r="B128" s="11" t="s">
        <v>21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5.75" x14ac:dyDescent="0.25">
      <c r="A129" s="29" t="s">
        <v>121</v>
      </c>
      <c r="B129" s="17" t="s">
        <v>122</v>
      </c>
      <c r="C129" s="14">
        <v>205</v>
      </c>
      <c r="D129" s="16">
        <v>6.55</v>
      </c>
      <c r="E129" s="16">
        <v>8.33</v>
      </c>
      <c r="F129" s="16">
        <v>35.090000000000003</v>
      </c>
      <c r="G129" s="16">
        <v>241.11</v>
      </c>
      <c r="H129" s="16">
        <v>0.06</v>
      </c>
      <c r="I129" s="16">
        <v>0.28999999999999998</v>
      </c>
      <c r="J129" s="16">
        <v>0.01</v>
      </c>
      <c r="K129" s="16">
        <v>0.14000000000000001</v>
      </c>
      <c r="L129" s="16">
        <v>140.88999999999999</v>
      </c>
      <c r="M129" s="16">
        <v>104.48</v>
      </c>
      <c r="N129" s="16">
        <v>20.59</v>
      </c>
      <c r="O129" s="16">
        <v>0.88</v>
      </c>
    </row>
    <row r="130" spans="1:15" ht="15.75" x14ac:dyDescent="0.25">
      <c r="A130" s="29" t="s">
        <v>24</v>
      </c>
      <c r="B130" s="17" t="s">
        <v>107</v>
      </c>
      <c r="C130" s="16">
        <v>200</v>
      </c>
      <c r="D130" s="15">
        <v>2.79</v>
      </c>
      <c r="E130" s="15">
        <v>3.19</v>
      </c>
      <c r="F130" s="15">
        <v>19.71</v>
      </c>
      <c r="G130" s="15">
        <v>118.69</v>
      </c>
      <c r="H130" s="15">
        <v>0.03</v>
      </c>
      <c r="I130" s="15">
        <v>1</v>
      </c>
      <c r="J130" s="15">
        <v>0.02</v>
      </c>
      <c r="K130" s="15">
        <v>0.05</v>
      </c>
      <c r="L130" s="15">
        <v>141.30000000000001</v>
      </c>
      <c r="M130" s="15">
        <v>91</v>
      </c>
      <c r="N130" s="15">
        <v>14</v>
      </c>
      <c r="O130" s="15">
        <v>0.14000000000000001</v>
      </c>
    </row>
    <row r="131" spans="1:15" ht="15.75" x14ac:dyDescent="0.25">
      <c r="A131" s="12" t="s">
        <v>28</v>
      </c>
      <c r="B131" s="17" t="s">
        <v>75</v>
      </c>
      <c r="C131" s="14">
        <v>15</v>
      </c>
      <c r="D131" s="16">
        <f>C131*6.96/30</f>
        <v>3.48</v>
      </c>
      <c r="E131" s="19">
        <f>C131*8.85/30</f>
        <v>4.4249999999999998</v>
      </c>
      <c r="F131" s="14">
        <v>0</v>
      </c>
      <c r="G131" s="14">
        <f>C131*109.2/30</f>
        <v>54.6</v>
      </c>
      <c r="H131" s="20">
        <f>C131*0.01/30</f>
        <v>5.0000000000000001E-3</v>
      </c>
      <c r="I131" s="75">
        <f>C131*0.48/30</f>
        <v>0.23999999999999996</v>
      </c>
      <c r="J131" s="20">
        <f>C131*0.08/30</f>
        <v>0.04</v>
      </c>
      <c r="K131" s="75">
        <f>C131*0.12/30</f>
        <v>5.9999999999999991E-2</v>
      </c>
      <c r="L131" s="75">
        <f>C131*300/30</f>
        <v>150</v>
      </c>
      <c r="M131" s="75">
        <f>C131*162/30</f>
        <v>81</v>
      </c>
      <c r="N131" s="75">
        <f>C131*15/30</f>
        <v>7.5</v>
      </c>
      <c r="O131" s="75">
        <f>C131*0.33/30</f>
        <v>0.16500000000000001</v>
      </c>
    </row>
    <row r="132" spans="1:15" ht="15.75" x14ac:dyDescent="0.25">
      <c r="A132" s="12" t="s">
        <v>26</v>
      </c>
      <c r="B132" s="17" t="s">
        <v>54</v>
      </c>
      <c r="C132" s="16">
        <v>10</v>
      </c>
      <c r="D132" s="16">
        <f>C132*0.1/10</f>
        <v>0.1</v>
      </c>
      <c r="E132" s="16">
        <f>C132*7.2/10</f>
        <v>7.2</v>
      </c>
      <c r="F132" s="16">
        <f>C132*0.1/10</f>
        <v>0.1</v>
      </c>
      <c r="G132" s="16">
        <f>C132*66/10</f>
        <v>66</v>
      </c>
      <c r="H132" s="76">
        <v>0</v>
      </c>
      <c r="I132" s="76">
        <f>C132*0.28/10</f>
        <v>0.28000000000000003</v>
      </c>
      <c r="J132" s="76">
        <v>0</v>
      </c>
      <c r="K132" s="76">
        <f>C132*0.1/10</f>
        <v>0.1</v>
      </c>
      <c r="L132" s="76">
        <f>C132*2.2/10</f>
        <v>2.2000000000000002</v>
      </c>
      <c r="M132" s="76">
        <f>C132*1.9/10</f>
        <v>1.9</v>
      </c>
      <c r="N132" s="76">
        <f>C132*0.3/10</f>
        <v>0.3</v>
      </c>
      <c r="O132" s="76">
        <f>C132*0.02/10</f>
        <v>0.02</v>
      </c>
    </row>
    <row r="133" spans="1:15" ht="15.75" x14ac:dyDescent="0.25">
      <c r="A133" s="12"/>
      <c r="B133" s="17" t="s">
        <v>55</v>
      </c>
      <c r="C133" s="16">
        <v>65</v>
      </c>
      <c r="D133" s="16">
        <f>C133*6.9/100</f>
        <v>4.4850000000000003</v>
      </c>
      <c r="E133" s="14">
        <f>1*C133/100</f>
        <v>0.65</v>
      </c>
      <c r="F133" s="14">
        <f>C133*48.3/100</f>
        <v>31.395</v>
      </c>
      <c r="G133" s="14">
        <f>C133*235/100</f>
        <v>152.75</v>
      </c>
      <c r="H133" s="77">
        <f>C133*0.16/100</f>
        <v>0.10400000000000001</v>
      </c>
      <c r="I133" s="77">
        <v>0</v>
      </c>
      <c r="J133" s="77">
        <v>0</v>
      </c>
      <c r="K133" s="77">
        <f>C133*1.3/100</f>
        <v>0.84499999999999997</v>
      </c>
      <c r="L133" s="77">
        <f>C133*23/100</f>
        <v>14.95</v>
      </c>
      <c r="M133" s="77">
        <f>C133*87/100</f>
        <v>56.55</v>
      </c>
      <c r="N133" s="77">
        <f>C133*33/100</f>
        <v>21.45</v>
      </c>
      <c r="O133" s="77">
        <f>C133*2/100</f>
        <v>1.3</v>
      </c>
    </row>
    <row r="134" spans="1:15" ht="15.75" x14ac:dyDescent="0.25">
      <c r="A134" s="29"/>
      <c r="B134" s="17" t="s">
        <v>123</v>
      </c>
      <c r="C134" s="16">
        <v>100</v>
      </c>
      <c r="D134" s="19">
        <f>0.4*C134/100</f>
        <v>0.4</v>
      </c>
      <c r="E134" s="19">
        <f>C134*0.4/100</f>
        <v>0.4</v>
      </c>
      <c r="F134" s="19">
        <f>C134*9.8/100</f>
        <v>9.8000000000000007</v>
      </c>
      <c r="G134" s="19">
        <f>C134*42/100</f>
        <v>42</v>
      </c>
      <c r="H134" s="20">
        <f>0.03*C134/100</f>
        <v>0.03</v>
      </c>
      <c r="I134" s="20">
        <f>C134*5/100</f>
        <v>5</v>
      </c>
      <c r="J134" s="20">
        <f>0.03*C134/100</f>
        <v>0.03</v>
      </c>
      <c r="K134" s="20">
        <f>C134*0.6/100</f>
        <v>0.6</v>
      </c>
      <c r="L134" s="20">
        <f>C134*16/100</f>
        <v>16</v>
      </c>
      <c r="M134" s="20">
        <f>C134*11/100</f>
        <v>11</v>
      </c>
      <c r="N134" s="20">
        <f>C134*5/100</f>
        <v>5</v>
      </c>
      <c r="O134" s="20">
        <f>C134*2.2/100</f>
        <v>2.2000000000000002</v>
      </c>
    </row>
    <row r="135" spans="1:15" ht="15.75" x14ac:dyDescent="0.25">
      <c r="A135" s="41"/>
      <c r="B135" s="81" t="s">
        <v>34</v>
      </c>
      <c r="C135" s="82">
        <f>SUM(C129:C134)</f>
        <v>595</v>
      </c>
      <c r="D135" s="83">
        <f>SUM(D129:D134)</f>
        <v>17.805</v>
      </c>
      <c r="E135" s="83">
        <f>SUM(E129:E134)</f>
        <v>24.194999999999997</v>
      </c>
      <c r="F135" s="83">
        <f>SUM(F129:F134)</f>
        <v>96.094999999999999</v>
      </c>
      <c r="G135" s="83">
        <f>SUM(G129:G134)</f>
        <v>675.15000000000009</v>
      </c>
      <c r="H135" s="83">
        <v>0.28999999999999998</v>
      </c>
      <c r="I135" s="83">
        <f t="shared" ref="I135:O135" si="17">SUM(I129:I134)</f>
        <v>6.8100000000000005</v>
      </c>
      <c r="J135" s="83">
        <f t="shared" si="17"/>
        <v>0.1</v>
      </c>
      <c r="K135" s="83">
        <f t="shared" si="17"/>
        <v>1.7949999999999999</v>
      </c>
      <c r="L135" s="83">
        <f t="shared" si="17"/>
        <v>465.34</v>
      </c>
      <c r="M135" s="83">
        <f t="shared" si="17"/>
        <v>345.93</v>
      </c>
      <c r="N135" s="83">
        <f t="shared" si="17"/>
        <v>68.84</v>
      </c>
      <c r="O135" s="83">
        <f t="shared" si="17"/>
        <v>4.7050000000000001</v>
      </c>
    </row>
    <row r="136" spans="1:15" ht="15.75" x14ac:dyDescent="0.25">
      <c r="A136" s="43"/>
      <c r="B136" s="2" t="s">
        <v>35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 ht="15.75" x14ac:dyDescent="0.25">
      <c r="A137" s="40" t="s">
        <v>124</v>
      </c>
      <c r="B137" s="17" t="s">
        <v>125</v>
      </c>
      <c r="C137" s="14">
        <v>250</v>
      </c>
      <c r="D137" s="15">
        <f>C137*1.93/250</f>
        <v>1.93</v>
      </c>
      <c r="E137" s="15">
        <f>C137*5.86/250</f>
        <v>5.86</v>
      </c>
      <c r="F137" s="15">
        <f>C137*12.59/250</f>
        <v>12.59</v>
      </c>
      <c r="G137" s="15">
        <f>C137*115.24/250</f>
        <v>115.24</v>
      </c>
      <c r="H137" s="15">
        <f>C137*0.06/250</f>
        <v>0.06</v>
      </c>
      <c r="I137" s="15">
        <f>C137*5.32/250</f>
        <v>5.32</v>
      </c>
      <c r="J137" s="15">
        <f>C137*0.03/250</f>
        <v>0.03</v>
      </c>
      <c r="K137" s="15">
        <f>C137*0.23/250</f>
        <v>0.23</v>
      </c>
      <c r="L137" s="15">
        <f>C137*29.09/250</f>
        <v>29.09</v>
      </c>
      <c r="M137" s="15">
        <f>C137*45.75/250</f>
        <v>45.75</v>
      </c>
      <c r="N137" s="15">
        <f>C137*23.6/250</f>
        <v>23.6</v>
      </c>
      <c r="O137" s="15">
        <f>C137*0.67/250</f>
        <v>0.67</v>
      </c>
    </row>
    <row r="138" spans="1:15" ht="15.75" x14ac:dyDescent="0.25">
      <c r="A138" s="29" t="s">
        <v>126</v>
      </c>
      <c r="B138" s="48" t="s">
        <v>173</v>
      </c>
      <c r="C138" s="14">
        <v>220</v>
      </c>
      <c r="D138" s="15">
        <f>22.54*C138/220</f>
        <v>22.54</v>
      </c>
      <c r="E138" s="15">
        <f>17.33*C138/220</f>
        <v>17.329999999999998</v>
      </c>
      <c r="F138" s="15">
        <f>22.13*C138/220</f>
        <v>22.13</v>
      </c>
      <c r="G138" s="15">
        <f>334.08*C138/220</f>
        <v>334.08</v>
      </c>
      <c r="H138" s="15">
        <f>0.2*C138/220</f>
        <v>0.2</v>
      </c>
      <c r="I138" s="15">
        <f>23.5*C138/220</f>
        <v>23.5</v>
      </c>
      <c r="J138" s="15">
        <f>0.01*C138/220</f>
        <v>0.01</v>
      </c>
      <c r="K138" s="15">
        <f>0.66*C138/220</f>
        <v>0.66</v>
      </c>
      <c r="L138" s="15">
        <f>26.48*C138/220</f>
        <v>26.48</v>
      </c>
      <c r="M138" s="15">
        <f>291.98*C138/220</f>
        <v>291.98</v>
      </c>
      <c r="N138" s="15">
        <f>57.85*C138/220</f>
        <v>57.85</v>
      </c>
      <c r="O138" s="15">
        <f>3.36*C138/220</f>
        <v>3.36</v>
      </c>
    </row>
    <row r="139" spans="1:15" ht="15.75" x14ac:dyDescent="0.25">
      <c r="A139" s="29" t="s">
        <v>127</v>
      </c>
      <c r="B139" s="17" t="s">
        <v>128</v>
      </c>
      <c r="C139" s="16">
        <v>100</v>
      </c>
      <c r="D139" s="15">
        <f>C139*1.32/100</f>
        <v>1.32</v>
      </c>
      <c r="E139" s="19">
        <f>10.08*C139/100</f>
        <v>10.08</v>
      </c>
      <c r="F139" s="19">
        <f>C139*7.68/100</f>
        <v>7.68</v>
      </c>
      <c r="G139" s="19">
        <f>C139*126.08/100</f>
        <v>126.08</v>
      </c>
      <c r="H139" s="21">
        <f>C139*0.03/100</f>
        <v>0.03</v>
      </c>
      <c r="I139" s="21">
        <f>C139*5.7/100</f>
        <v>5.7</v>
      </c>
      <c r="J139" s="21">
        <v>0</v>
      </c>
      <c r="K139" s="21">
        <f>C139*2.3/100</f>
        <v>2.2999999999999998</v>
      </c>
      <c r="L139" s="21">
        <f>C139*37.87/100</f>
        <v>37.869999999999997</v>
      </c>
      <c r="M139" s="21">
        <f>C139*42.73/100</f>
        <v>42.73</v>
      </c>
      <c r="N139" s="21">
        <f>C139*37.63/100</f>
        <v>37.630000000000003</v>
      </c>
      <c r="O139" s="21">
        <f>C139*1.06/100</f>
        <v>1.06</v>
      </c>
    </row>
    <row r="140" spans="1:15" ht="15.75" x14ac:dyDescent="0.25">
      <c r="A140" s="12" t="s">
        <v>66</v>
      </c>
      <c r="B140" s="17" t="s">
        <v>67</v>
      </c>
      <c r="C140" s="16">
        <v>200</v>
      </c>
      <c r="D140" s="15">
        <v>0.33</v>
      </c>
      <c r="E140" s="15">
        <v>0</v>
      </c>
      <c r="F140" s="15">
        <v>22.66</v>
      </c>
      <c r="G140" s="15">
        <v>91.98</v>
      </c>
      <c r="H140" s="15">
        <v>0.01</v>
      </c>
      <c r="I140" s="15">
        <v>0.28000000000000003</v>
      </c>
      <c r="J140" s="15">
        <v>0.01</v>
      </c>
      <c r="K140" s="15">
        <v>0.11</v>
      </c>
      <c r="L140" s="15">
        <v>51.84</v>
      </c>
      <c r="M140" s="15">
        <v>33.630000000000003</v>
      </c>
      <c r="N140" s="15">
        <v>25.2</v>
      </c>
      <c r="O140" s="15">
        <v>7.17</v>
      </c>
    </row>
    <row r="141" spans="1:15" ht="15.75" x14ac:dyDescent="0.25">
      <c r="A141" s="40"/>
      <c r="B141" s="17" t="s">
        <v>68</v>
      </c>
      <c r="C141" s="16">
        <v>57</v>
      </c>
      <c r="D141" s="15">
        <f>C141*6.9/100</f>
        <v>3.9330000000000003</v>
      </c>
      <c r="E141" s="19">
        <f>1*C141/100</f>
        <v>0.56999999999999995</v>
      </c>
      <c r="F141" s="19">
        <f>C141*48.3/100</f>
        <v>27.530999999999999</v>
      </c>
      <c r="G141" s="19">
        <f>C141*235/100</f>
        <v>133.94999999999999</v>
      </c>
      <c r="H141" s="21">
        <f>C141*0.16/100</f>
        <v>9.1200000000000003E-2</v>
      </c>
      <c r="I141" s="21">
        <v>0</v>
      </c>
      <c r="J141" s="21">
        <v>0</v>
      </c>
      <c r="K141" s="21">
        <f>C141*1.3/100</f>
        <v>0.7410000000000001</v>
      </c>
      <c r="L141" s="21">
        <f>C141*23/100</f>
        <v>13.11</v>
      </c>
      <c r="M141" s="21">
        <f>C141*87/100</f>
        <v>49.59</v>
      </c>
      <c r="N141" s="21">
        <f>C141*33/100</f>
        <v>18.809999999999999</v>
      </c>
      <c r="O141" s="21">
        <f>C141*2/100</f>
        <v>1.1399999999999999</v>
      </c>
    </row>
    <row r="142" spans="1:15" ht="15.75" x14ac:dyDescent="0.25">
      <c r="A142" s="40"/>
      <c r="B142" s="17" t="s">
        <v>69</v>
      </c>
      <c r="C142" s="16">
        <v>70</v>
      </c>
      <c r="D142" s="15">
        <f>C142*4.8/100</f>
        <v>3.36</v>
      </c>
      <c r="E142" s="19">
        <f>C142*1/100</f>
        <v>0.7</v>
      </c>
      <c r="F142" s="19">
        <f>C142*21.2/50</f>
        <v>29.68</v>
      </c>
      <c r="G142" s="19">
        <f>C142*100/50</f>
        <v>140</v>
      </c>
      <c r="H142" s="21">
        <f>C142*0.03/50</f>
        <v>4.2000000000000003E-2</v>
      </c>
      <c r="I142" s="21">
        <v>0</v>
      </c>
      <c r="J142" s="21">
        <v>0</v>
      </c>
      <c r="K142" s="21">
        <f>C142*0.07/50</f>
        <v>9.8000000000000004E-2</v>
      </c>
      <c r="L142" s="21">
        <f>C142*10.2/50</f>
        <v>14.28</v>
      </c>
      <c r="M142" s="21">
        <f>C142*42/50</f>
        <v>58.8</v>
      </c>
      <c r="N142" s="21">
        <f>C142*8.2/50</f>
        <v>11.48</v>
      </c>
      <c r="O142" s="21">
        <v>0.05</v>
      </c>
    </row>
    <row r="143" spans="1:15" ht="15.75" x14ac:dyDescent="0.25">
      <c r="A143" s="41"/>
      <c r="B143" s="124" t="s">
        <v>47</v>
      </c>
      <c r="C143" s="125">
        <f>SUM(C137:C142)</f>
        <v>897</v>
      </c>
      <c r="D143" s="125">
        <f>SUM(D137:D142)</f>
        <v>33.412999999999997</v>
      </c>
      <c r="E143" s="126">
        <f>SUM(E137:E142)</f>
        <v>34.54</v>
      </c>
      <c r="F143" s="126">
        <f>SUM(F137:F142)</f>
        <v>122.27100000000002</v>
      </c>
      <c r="G143" s="126">
        <f t="shared" ref="G143:N143" si="18">SUM(G137:G142)</f>
        <v>941.32999999999993</v>
      </c>
      <c r="H143" s="126">
        <f>SUM(H137:H142)</f>
        <v>0.43320000000000003</v>
      </c>
      <c r="I143" s="126">
        <f t="shared" si="18"/>
        <v>34.800000000000004</v>
      </c>
      <c r="J143" s="126">
        <f t="shared" si="18"/>
        <v>0.05</v>
      </c>
      <c r="K143" s="126">
        <f t="shared" si="18"/>
        <v>4.1390000000000002</v>
      </c>
      <c r="L143" s="126">
        <f t="shared" si="18"/>
        <v>172.67</v>
      </c>
      <c r="M143" s="126">
        <f t="shared" si="18"/>
        <v>522.48</v>
      </c>
      <c r="N143" s="126">
        <f t="shared" si="18"/>
        <v>174.57</v>
      </c>
      <c r="O143" s="125">
        <f>SUM(O137:O142)</f>
        <v>13.450000000000001</v>
      </c>
    </row>
    <row r="144" spans="1:15" ht="15.75" x14ac:dyDescent="0.25">
      <c r="A144" s="10"/>
      <c r="B144" s="63" t="s">
        <v>103</v>
      </c>
      <c r="C144" s="84"/>
      <c r="D144" s="25">
        <f t="shared" ref="D144:O144" si="19">D135+D143</f>
        <v>51.217999999999996</v>
      </c>
      <c r="E144" s="25">
        <f t="shared" si="19"/>
        <v>58.734999999999999</v>
      </c>
      <c r="F144" s="25">
        <f t="shared" si="19"/>
        <v>218.36600000000001</v>
      </c>
      <c r="G144" s="25">
        <f t="shared" si="19"/>
        <v>1616.48</v>
      </c>
      <c r="H144" s="25">
        <f t="shared" si="19"/>
        <v>0.72320000000000007</v>
      </c>
      <c r="I144" s="25">
        <f t="shared" si="19"/>
        <v>41.610000000000007</v>
      </c>
      <c r="J144" s="25">
        <f t="shared" si="19"/>
        <v>0.15000000000000002</v>
      </c>
      <c r="K144" s="25">
        <f t="shared" si="19"/>
        <v>5.9340000000000002</v>
      </c>
      <c r="L144" s="25">
        <f t="shared" si="19"/>
        <v>638.01</v>
      </c>
      <c r="M144" s="25">
        <f t="shared" si="19"/>
        <v>868.41000000000008</v>
      </c>
      <c r="N144" s="25">
        <f t="shared" si="19"/>
        <v>243.41</v>
      </c>
      <c r="O144" s="25">
        <f t="shared" si="19"/>
        <v>18.155000000000001</v>
      </c>
    </row>
    <row r="145" spans="1:15" ht="15.75" x14ac:dyDescent="0.25">
      <c r="A145" s="10"/>
      <c r="B145" s="220"/>
      <c r="C145" s="221"/>
      <c r="D145" s="85"/>
      <c r="E145" s="42"/>
      <c r="F145" s="42"/>
      <c r="G145" s="42"/>
      <c r="H145" s="85"/>
      <c r="I145" s="42"/>
      <c r="J145" s="42"/>
      <c r="K145" s="42"/>
      <c r="L145" s="42"/>
      <c r="M145" s="42"/>
      <c r="N145" s="42"/>
      <c r="O145" s="85"/>
    </row>
    <row r="146" spans="1:15" ht="15.75" x14ac:dyDescent="0.25">
      <c r="A146" s="10"/>
      <c r="B146" s="211" t="s">
        <v>129</v>
      </c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</row>
    <row r="147" spans="1:15" ht="15.75" x14ac:dyDescent="0.25">
      <c r="A147" s="203" t="s">
        <v>3</v>
      </c>
      <c r="B147" s="205" t="s">
        <v>4</v>
      </c>
      <c r="C147" s="209" t="s">
        <v>5</v>
      </c>
      <c r="D147" s="208" t="s">
        <v>6</v>
      </c>
      <c r="E147" s="208"/>
      <c r="F147" s="208"/>
      <c r="G147" s="209" t="s">
        <v>7</v>
      </c>
      <c r="H147" s="208" t="s">
        <v>8</v>
      </c>
      <c r="I147" s="208"/>
      <c r="J147" s="208"/>
      <c r="K147" s="208"/>
      <c r="L147" s="208" t="s">
        <v>9</v>
      </c>
      <c r="M147" s="208"/>
      <c r="N147" s="208"/>
      <c r="O147" s="208"/>
    </row>
    <row r="148" spans="1:15" ht="15.75" x14ac:dyDescent="0.25">
      <c r="A148" s="204"/>
      <c r="B148" s="205"/>
      <c r="C148" s="210"/>
      <c r="D148" s="52" t="s">
        <v>10</v>
      </c>
      <c r="E148" s="52" t="s">
        <v>11</v>
      </c>
      <c r="F148" s="52" t="s">
        <v>12</v>
      </c>
      <c r="G148" s="210"/>
      <c r="H148" s="52" t="s">
        <v>13</v>
      </c>
      <c r="I148" s="52" t="s">
        <v>14</v>
      </c>
      <c r="J148" s="52" t="s">
        <v>15</v>
      </c>
      <c r="K148" s="52" t="s">
        <v>16</v>
      </c>
      <c r="L148" s="52" t="s">
        <v>17</v>
      </c>
      <c r="M148" s="52" t="s">
        <v>18</v>
      </c>
      <c r="N148" s="52" t="s">
        <v>19</v>
      </c>
      <c r="O148" s="52" t="s">
        <v>20</v>
      </c>
    </row>
    <row r="149" spans="1:15" ht="15.75" x14ac:dyDescent="0.25">
      <c r="A149" s="6">
        <v>1</v>
      </c>
      <c r="B149" s="7">
        <v>2</v>
      </c>
      <c r="C149" s="8">
        <v>3</v>
      </c>
      <c r="D149" s="8">
        <v>4</v>
      </c>
      <c r="E149" s="8">
        <v>5</v>
      </c>
      <c r="F149" s="8">
        <v>6</v>
      </c>
      <c r="G149" s="9">
        <v>7</v>
      </c>
      <c r="H149" s="8">
        <v>8</v>
      </c>
      <c r="I149" s="8">
        <v>9</v>
      </c>
      <c r="J149" s="8">
        <v>10</v>
      </c>
      <c r="K149" s="8">
        <v>11</v>
      </c>
      <c r="L149" s="8">
        <v>12</v>
      </c>
      <c r="M149" s="8">
        <v>13</v>
      </c>
      <c r="N149" s="8">
        <v>14</v>
      </c>
      <c r="O149" s="8">
        <v>15</v>
      </c>
    </row>
    <row r="150" spans="1:15" ht="15.75" x14ac:dyDescent="0.25">
      <c r="A150" s="43"/>
      <c r="B150" s="54" t="s">
        <v>21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ht="15.75" x14ac:dyDescent="0.25">
      <c r="A151" s="29" t="s">
        <v>130</v>
      </c>
      <c r="B151" s="17" t="s">
        <v>131</v>
      </c>
      <c r="C151" s="16">
        <v>160</v>
      </c>
      <c r="D151" s="19">
        <f>C151*27.2/170</f>
        <v>25.6</v>
      </c>
      <c r="E151" s="19">
        <f>5.24*C151/170</f>
        <v>4.9317647058823537</v>
      </c>
      <c r="F151" s="19">
        <f>44.67*C151/170</f>
        <v>42.042352941176475</v>
      </c>
      <c r="G151" s="19">
        <f>334.32*C151/170</f>
        <v>314.6541176470588</v>
      </c>
      <c r="H151" s="20">
        <f>0.14*C151/170</f>
        <v>0.13176470588235295</v>
      </c>
      <c r="I151" s="20">
        <f>3.4*C151/170</f>
        <v>3.2</v>
      </c>
      <c r="J151" s="20">
        <f>0.11*C151/170</f>
        <v>0.1035294117647059</v>
      </c>
      <c r="K151" s="20">
        <f>0.58*C151/170</f>
        <v>0.54588235294117649</v>
      </c>
      <c r="L151" s="20">
        <f>128.78*C151/170</f>
        <v>121.20470588235294</v>
      </c>
      <c r="M151" s="20">
        <f>133.42*C151/170</f>
        <v>125.57176470588233</v>
      </c>
      <c r="N151" s="20">
        <f>19.63*C151/170</f>
        <v>18.475294117647056</v>
      </c>
      <c r="O151" s="20">
        <f>0.33*C151/170</f>
        <v>0.31058823529411766</v>
      </c>
    </row>
    <row r="152" spans="1:15" ht="15.75" x14ac:dyDescent="0.25">
      <c r="A152" s="12" t="s">
        <v>26</v>
      </c>
      <c r="B152" s="17" t="s">
        <v>54</v>
      </c>
      <c r="C152" s="16">
        <v>10</v>
      </c>
      <c r="D152" s="16">
        <f>C152*0.1/10</f>
        <v>0.1</v>
      </c>
      <c r="E152" s="16">
        <f>C152*7.2/10</f>
        <v>7.2</v>
      </c>
      <c r="F152" s="16">
        <f>C152*0.1/10</f>
        <v>0.1</v>
      </c>
      <c r="G152" s="16">
        <f>C152*66/10</f>
        <v>66</v>
      </c>
      <c r="H152" s="76">
        <v>0</v>
      </c>
      <c r="I152" s="76">
        <f>C152*0.28/10</f>
        <v>0.28000000000000003</v>
      </c>
      <c r="J152" s="76">
        <v>0</v>
      </c>
      <c r="K152" s="76">
        <f>C152*0.1/10</f>
        <v>0.1</v>
      </c>
      <c r="L152" s="76">
        <f>C152*2.2/10</f>
        <v>2.2000000000000002</v>
      </c>
      <c r="M152" s="76">
        <f>C152*1.9/10</f>
        <v>1.9</v>
      </c>
      <c r="N152" s="76">
        <f>C152*0.3/10</f>
        <v>0.3</v>
      </c>
      <c r="O152" s="76">
        <f>C152*0.02/10</f>
        <v>0.02</v>
      </c>
    </row>
    <row r="153" spans="1:15" ht="15.75" x14ac:dyDescent="0.25">
      <c r="A153" s="12"/>
      <c r="B153" s="17" t="s">
        <v>55</v>
      </c>
      <c r="C153" s="16">
        <v>64</v>
      </c>
      <c r="D153" s="15">
        <f>C153*6.9/100</f>
        <v>4.4160000000000004</v>
      </c>
      <c r="E153" s="19">
        <f>1*C153/100</f>
        <v>0.64</v>
      </c>
      <c r="F153" s="19">
        <f>C153*48.3/100</f>
        <v>30.911999999999999</v>
      </c>
      <c r="G153" s="19">
        <f>C153*235/100</f>
        <v>150.4</v>
      </c>
      <c r="H153" s="21">
        <f>C153*0.16/100</f>
        <v>0.1024</v>
      </c>
      <c r="I153" s="21">
        <v>0</v>
      </c>
      <c r="J153" s="21">
        <v>0</v>
      </c>
      <c r="K153" s="21">
        <f>C153*1.3/100</f>
        <v>0.83200000000000007</v>
      </c>
      <c r="L153" s="21">
        <f>C153*23/100</f>
        <v>14.72</v>
      </c>
      <c r="M153" s="21">
        <f>C153*87/100</f>
        <v>55.68</v>
      </c>
      <c r="N153" s="21">
        <f>C153*33/100</f>
        <v>21.12</v>
      </c>
      <c r="O153" s="21">
        <f>C153*2/100</f>
        <v>1.28</v>
      </c>
    </row>
    <row r="154" spans="1:15" ht="15.75" x14ac:dyDescent="0.25">
      <c r="A154" s="29" t="s">
        <v>52</v>
      </c>
      <c r="B154" s="17" t="s">
        <v>132</v>
      </c>
      <c r="C154" s="35">
        <v>200</v>
      </c>
      <c r="D154" s="36">
        <v>7.0000000000000007E-2</v>
      </c>
      <c r="E154" s="36">
        <v>0.01</v>
      </c>
      <c r="F154" s="36">
        <v>15.31</v>
      </c>
      <c r="G154" s="36">
        <v>61.62</v>
      </c>
      <c r="H154" s="37">
        <v>0</v>
      </c>
      <c r="I154" s="37">
        <v>2</v>
      </c>
      <c r="J154" s="37">
        <v>0</v>
      </c>
      <c r="K154" s="37">
        <v>0.01</v>
      </c>
      <c r="L154" s="37">
        <v>8.0500000000000007</v>
      </c>
      <c r="M154" s="37">
        <v>9.7899999999999991</v>
      </c>
      <c r="N154" s="37">
        <v>5.24</v>
      </c>
      <c r="O154" s="37">
        <v>0.9</v>
      </c>
    </row>
    <row r="155" spans="1:15" ht="15.75" x14ac:dyDescent="0.25">
      <c r="A155" s="29"/>
      <c r="B155" s="17" t="s">
        <v>77</v>
      </c>
      <c r="C155" s="16">
        <v>100</v>
      </c>
      <c r="D155" s="19">
        <f>C155*1.5/100</f>
        <v>1.5</v>
      </c>
      <c r="E155" s="19">
        <f>C155*0.5/100</f>
        <v>0.5</v>
      </c>
      <c r="F155" s="19">
        <f>C155*21/100</f>
        <v>21</v>
      </c>
      <c r="G155" s="19">
        <f>C155*89.3/100</f>
        <v>89.3</v>
      </c>
      <c r="H155" s="20">
        <v>0.1</v>
      </c>
      <c r="I155" s="20">
        <f>C155*5/100</f>
        <v>5</v>
      </c>
      <c r="J155" s="20">
        <f>C155*0.1/100</f>
        <v>0.1</v>
      </c>
      <c r="K155" s="20">
        <f>C155*0.2/100</f>
        <v>0.2</v>
      </c>
      <c r="L155" s="20">
        <f>C155*8/100</f>
        <v>8</v>
      </c>
      <c r="M155" s="20">
        <f>C155*28/100</f>
        <v>28</v>
      </c>
      <c r="N155" s="20">
        <f>C155*22/100</f>
        <v>22</v>
      </c>
      <c r="O155" s="20">
        <f>C155*0.6/100</f>
        <v>0.6</v>
      </c>
    </row>
    <row r="156" spans="1:15" ht="15.75" x14ac:dyDescent="0.25">
      <c r="A156" s="41"/>
      <c r="B156" s="81" t="s">
        <v>34</v>
      </c>
      <c r="C156" s="82">
        <f>SUM(C151:C155)</f>
        <v>534</v>
      </c>
      <c r="D156" s="83">
        <f>SUM(D151:D155)</f>
        <v>31.686000000000003</v>
      </c>
      <c r="E156" s="83">
        <f>SUM(E151:E155)</f>
        <v>13.281764705882354</v>
      </c>
      <c r="F156" s="83">
        <f>SUM(F151:F155)</f>
        <v>109.36435294117648</v>
      </c>
      <c r="G156" s="83">
        <v>595.41</v>
      </c>
      <c r="H156" s="83">
        <f t="shared" ref="H156:O156" si="20">SUM(H151:H155)</f>
        <v>0.33416470588235292</v>
      </c>
      <c r="I156" s="83">
        <f t="shared" si="20"/>
        <v>10.48</v>
      </c>
      <c r="J156" s="83">
        <f t="shared" si="20"/>
        <v>0.2035294117647059</v>
      </c>
      <c r="K156" s="83">
        <f t="shared" si="20"/>
        <v>1.6878823529411764</v>
      </c>
      <c r="L156" s="83">
        <f t="shared" si="20"/>
        <v>154.17470588235295</v>
      </c>
      <c r="M156" s="83">
        <f t="shared" si="20"/>
        <v>220.94176470588232</v>
      </c>
      <c r="N156" s="83">
        <f t="shared" si="20"/>
        <v>67.135294117647049</v>
      </c>
      <c r="O156" s="83">
        <f t="shared" si="20"/>
        <v>3.1105882352941179</v>
      </c>
    </row>
    <row r="157" spans="1:15" ht="15.75" x14ac:dyDescent="0.25">
      <c r="A157" s="43"/>
      <c r="B157" s="2" t="s">
        <v>35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 ht="15.75" x14ac:dyDescent="0.25">
      <c r="A158" s="12" t="s">
        <v>133</v>
      </c>
      <c r="B158" s="17" t="s">
        <v>37</v>
      </c>
      <c r="C158" s="14">
        <v>250</v>
      </c>
      <c r="D158" s="15">
        <f>C158*5.03/250</f>
        <v>5.03</v>
      </c>
      <c r="E158" s="15">
        <f>C158*11.3/250</f>
        <v>11.3</v>
      </c>
      <c r="F158" s="15">
        <f>C158*32.28/250</f>
        <v>32.28</v>
      </c>
      <c r="G158" s="15">
        <f>C158*149.6/250</f>
        <v>149.6</v>
      </c>
      <c r="H158" s="15">
        <f>0.1*C158/250</f>
        <v>0.1</v>
      </c>
      <c r="I158" s="15">
        <f>C158*16.78/250</f>
        <v>16.78</v>
      </c>
      <c r="J158" s="15">
        <f>0.02*C158/250</f>
        <v>0.02</v>
      </c>
      <c r="K158" s="15">
        <f>2.42*C158/250</f>
        <v>2.42</v>
      </c>
      <c r="L158" s="15">
        <f>C158*27.7/250</f>
        <v>27.7</v>
      </c>
      <c r="M158" s="15">
        <f>65.75*C158/250</f>
        <v>65.75</v>
      </c>
      <c r="N158" s="15">
        <f>32.55*C158/250</f>
        <v>32.549999999999997</v>
      </c>
      <c r="O158" s="15">
        <f>1.03*C158/250</f>
        <v>1.03</v>
      </c>
    </row>
    <row r="159" spans="1:15" ht="15.75" x14ac:dyDescent="0.25">
      <c r="A159" s="12" t="s">
        <v>134</v>
      </c>
      <c r="B159" s="17" t="s">
        <v>135</v>
      </c>
      <c r="C159" s="16">
        <v>180</v>
      </c>
      <c r="D159" s="15">
        <v>3.83</v>
      </c>
      <c r="E159" s="15">
        <v>7.27</v>
      </c>
      <c r="F159" s="15">
        <v>27.95</v>
      </c>
      <c r="G159" s="15">
        <v>192.55</v>
      </c>
      <c r="H159" s="15">
        <v>0.13</v>
      </c>
      <c r="I159" s="15">
        <v>3.84</v>
      </c>
      <c r="J159" s="15">
        <v>0.02</v>
      </c>
      <c r="K159" s="15">
        <v>0.23</v>
      </c>
      <c r="L159" s="15">
        <v>41.15</v>
      </c>
      <c r="M159" s="15">
        <v>88.76</v>
      </c>
      <c r="N159" s="15">
        <v>29.09</v>
      </c>
      <c r="O159" s="15">
        <v>1.19</v>
      </c>
    </row>
    <row r="160" spans="1:15" ht="15.75" x14ac:dyDescent="0.25">
      <c r="A160" s="12" t="s">
        <v>136</v>
      </c>
      <c r="B160" s="17" t="s">
        <v>137</v>
      </c>
      <c r="C160" s="16">
        <v>100</v>
      </c>
      <c r="D160" s="15">
        <v>18.09</v>
      </c>
      <c r="E160" s="15">
        <v>15.56</v>
      </c>
      <c r="F160" s="15">
        <v>4.6500000000000004</v>
      </c>
      <c r="G160" s="15">
        <v>231.67</v>
      </c>
      <c r="H160" s="15">
        <v>0.13</v>
      </c>
      <c r="I160" s="15">
        <v>0.71</v>
      </c>
      <c r="J160" s="15">
        <v>0.01</v>
      </c>
      <c r="K160" s="15">
        <v>6.77</v>
      </c>
      <c r="L160" s="15">
        <v>43.45</v>
      </c>
      <c r="M160" s="15">
        <v>286.61</v>
      </c>
      <c r="N160" s="15">
        <v>50.6</v>
      </c>
      <c r="O160" s="15">
        <v>1.88</v>
      </c>
    </row>
    <row r="161" spans="1:15" ht="15.75" x14ac:dyDescent="0.25">
      <c r="A161" s="12" t="s">
        <v>113</v>
      </c>
      <c r="B161" s="13" t="s">
        <v>114</v>
      </c>
      <c r="C161" s="86">
        <v>60</v>
      </c>
      <c r="D161" s="15">
        <f>C161*0.85/100</f>
        <v>0.51</v>
      </c>
      <c r="E161" s="19">
        <f>C161*5.08/100</f>
        <v>3.048</v>
      </c>
      <c r="F161" s="19">
        <f>C161*3.31/100</f>
        <v>1.986</v>
      </c>
      <c r="G161" s="19">
        <f>C161*61.5/100</f>
        <v>36.9</v>
      </c>
      <c r="H161" s="21">
        <f>C161*0.02/100</f>
        <v>1.2E-2</v>
      </c>
      <c r="I161" s="21">
        <f>C161*5/100</f>
        <v>3</v>
      </c>
      <c r="J161" s="21">
        <v>0.19</v>
      </c>
      <c r="K161" s="21">
        <f>C161*2.32/100</f>
        <v>1.3919999999999999</v>
      </c>
      <c r="L161" s="21">
        <f>C161*38.86/100</f>
        <v>23.315999999999999</v>
      </c>
      <c r="M161" s="21">
        <f>C161*28.03/100</f>
        <v>16.818000000000001</v>
      </c>
      <c r="N161" s="21">
        <f>C161*12.42/100</f>
        <v>7.4520000000000008</v>
      </c>
      <c r="O161" s="21">
        <f>C161*1.21/100</f>
        <v>0.72599999999999998</v>
      </c>
    </row>
    <row r="162" spans="1:15" ht="15.75" x14ac:dyDescent="0.25">
      <c r="A162" s="12" t="s">
        <v>86</v>
      </c>
      <c r="B162" s="58" t="s">
        <v>87</v>
      </c>
      <c r="C162" s="16">
        <v>200</v>
      </c>
      <c r="D162" s="15">
        <v>0.16</v>
      </c>
      <c r="E162" s="19">
        <v>0</v>
      </c>
      <c r="F162" s="19">
        <v>14.99</v>
      </c>
      <c r="G162" s="19">
        <v>60.64</v>
      </c>
      <c r="H162" s="21">
        <v>0.03</v>
      </c>
      <c r="I162" s="21">
        <v>3.6</v>
      </c>
      <c r="J162" s="21">
        <v>0.14000000000000001</v>
      </c>
      <c r="K162" s="21">
        <v>0.2</v>
      </c>
      <c r="L162" s="21">
        <v>21.5</v>
      </c>
      <c r="M162" s="21">
        <v>22.46</v>
      </c>
      <c r="N162" s="21">
        <v>12.6</v>
      </c>
      <c r="O162" s="21">
        <v>0.65</v>
      </c>
    </row>
    <row r="163" spans="1:15" ht="15.75" x14ac:dyDescent="0.25">
      <c r="A163" s="40"/>
      <c r="B163" s="17" t="s">
        <v>55</v>
      </c>
      <c r="C163" s="16">
        <v>40</v>
      </c>
      <c r="D163" s="15">
        <f>C163*6.9/100</f>
        <v>2.76</v>
      </c>
      <c r="E163" s="19">
        <f>1*C163/100</f>
        <v>0.4</v>
      </c>
      <c r="F163" s="19">
        <f>C163*48.3/100</f>
        <v>19.32</v>
      </c>
      <c r="G163" s="19">
        <f>C163*235/100</f>
        <v>94</v>
      </c>
      <c r="H163" s="21">
        <f>C163*0.16/100</f>
        <v>6.4000000000000001E-2</v>
      </c>
      <c r="I163" s="21">
        <v>0</v>
      </c>
      <c r="J163" s="21">
        <v>0</v>
      </c>
      <c r="K163" s="21">
        <f>C163*1.3/100</f>
        <v>0.52</v>
      </c>
      <c r="L163" s="21">
        <f>C163*23/100</f>
        <v>9.1999999999999993</v>
      </c>
      <c r="M163" s="21">
        <f>C163*87/100</f>
        <v>34.799999999999997</v>
      </c>
      <c r="N163" s="21">
        <f>C163*33/100</f>
        <v>13.2</v>
      </c>
      <c r="O163" s="21">
        <f>C163*2/100</f>
        <v>0.8</v>
      </c>
    </row>
    <row r="164" spans="1:15" ht="15.75" x14ac:dyDescent="0.25">
      <c r="A164" s="40"/>
      <c r="B164" s="17" t="s">
        <v>69</v>
      </c>
      <c r="C164" s="16">
        <v>45</v>
      </c>
      <c r="D164" s="15">
        <f>C164*4.8/100</f>
        <v>2.16</v>
      </c>
      <c r="E164" s="19">
        <f>C164*1/100</f>
        <v>0.45</v>
      </c>
      <c r="F164" s="19">
        <f>C164*21.2/50</f>
        <v>19.079999999999998</v>
      </c>
      <c r="G164" s="19">
        <f>C164*100/50</f>
        <v>90</v>
      </c>
      <c r="H164" s="21">
        <f>C164*0.03/50</f>
        <v>2.6999999999999996E-2</v>
      </c>
      <c r="I164" s="21">
        <v>0</v>
      </c>
      <c r="J164" s="21">
        <v>0</v>
      </c>
      <c r="K164" s="21">
        <f>C164*0.07/50</f>
        <v>6.3E-2</v>
      </c>
      <c r="L164" s="21">
        <f>C164*10.2/50</f>
        <v>9.18</v>
      </c>
      <c r="M164" s="21">
        <f>C164*42/50</f>
        <v>37.799999999999997</v>
      </c>
      <c r="N164" s="21">
        <f>C164*8.2/50</f>
        <v>7.379999999999999</v>
      </c>
      <c r="O164" s="21">
        <v>0.05</v>
      </c>
    </row>
    <row r="165" spans="1:15" ht="15.75" x14ac:dyDescent="0.25">
      <c r="A165" s="41"/>
      <c r="B165" s="124" t="s">
        <v>47</v>
      </c>
      <c r="C165" s="125">
        <f>SUM(C158:C164)</f>
        <v>875</v>
      </c>
      <c r="D165" s="126">
        <f t="shared" ref="D165:J165" si="21">SUM(D158:D164)</f>
        <v>32.540000000000006</v>
      </c>
      <c r="E165" s="126">
        <f t="shared" si="21"/>
        <v>38.028000000000006</v>
      </c>
      <c r="F165" s="126">
        <f t="shared" si="21"/>
        <v>120.25600000000001</v>
      </c>
      <c r="G165" s="126">
        <f t="shared" si="21"/>
        <v>855.3599999999999</v>
      </c>
      <c r="H165" s="126">
        <f t="shared" si="21"/>
        <v>0.49299999999999999</v>
      </c>
      <c r="I165" s="126">
        <f t="shared" si="21"/>
        <v>27.930000000000003</v>
      </c>
      <c r="J165" s="126">
        <f t="shared" si="21"/>
        <v>0.38</v>
      </c>
      <c r="K165" s="126">
        <v>12.45</v>
      </c>
      <c r="L165" s="126">
        <f>SUM(L158:L164)</f>
        <v>175.49599999999998</v>
      </c>
      <c r="M165" s="126">
        <f>SUM(M158:M164)</f>
        <v>552.99799999999993</v>
      </c>
      <c r="N165" s="126">
        <f>SUM(N158:N164)</f>
        <v>152.87199999999999</v>
      </c>
      <c r="O165" s="126">
        <f>SUM(O158:O164)</f>
        <v>6.3259999999999996</v>
      </c>
    </row>
    <row r="166" spans="1:15" ht="15.75" x14ac:dyDescent="0.25">
      <c r="A166" s="43"/>
      <c r="B166" s="63" t="s">
        <v>103</v>
      </c>
      <c r="C166" s="16"/>
      <c r="D166" s="34">
        <f t="shared" ref="D166:O166" si="22">D156+D165</f>
        <v>64.226000000000013</v>
      </c>
      <c r="E166" s="34">
        <f t="shared" si="22"/>
        <v>51.309764705882358</v>
      </c>
      <c r="F166" s="34">
        <f t="shared" si="22"/>
        <v>229.62035294117649</v>
      </c>
      <c r="G166" s="34">
        <f t="shared" si="22"/>
        <v>1450.77</v>
      </c>
      <c r="H166" s="34">
        <f t="shared" si="22"/>
        <v>0.82716470588235291</v>
      </c>
      <c r="I166" s="34">
        <f t="shared" si="22"/>
        <v>38.410000000000004</v>
      </c>
      <c r="J166" s="34">
        <f t="shared" si="22"/>
        <v>0.58352941176470585</v>
      </c>
      <c r="K166" s="34">
        <f t="shared" si="22"/>
        <v>14.137882352941176</v>
      </c>
      <c r="L166" s="34">
        <f t="shared" si="22"/>
        <v>329.67070588235293</v>
      </c>
      <c r="M166" s="34">
        <f t="shared" si="22"/>
        <v>773.93976470588223</v>
      </c>
      <c r="N166" s="34">
        <f t="shared" si="22"/>
        <v>220.00729411764704</v>
      </c>
      <c r="O166" s="34">
        <f t="shared" si="22"/>
        <v>9.4365882352941171</v>
      </c>
    </row>
    <row r="167" spans="1:15" ht="15.75" x14ac:dyDescent="0.25">
      <c r="A167" s="43"/>
      <c r="B167" s="63"/>
      <c r="C167" s="1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.75" x14ac:dyDescent="0.25">
      <c r="A168" s="10"/>
      <c r="B168" s="211" t="s">
        <v>138</v>
      </c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</row>
    <row r="169" spans="1:15" ht="15.75" x14ac:dyDescent="0.25">
      <c r="A169" s="203" t="s">
        <v>3</v>
      </c>
      <c r="B169" s="205" t="s">
        <v>4</v>
      </c>
      <c r="C169" s="206" t="s">
        <v>5</v>
      </c>
      <c r="D169" s="208" t="s">
        <v>6</v>
      </c>
      <c r="E169" s="208"/>
      <c r="F169" s="208"/>
      <c r="G169" s="209" t="s">
        <v>7</v>
      </c>
      <c r="H169" s="208" t="s">
        <v>8</v>
      </c>
      <c r="I169" s="208"/>
      <c r="J169" s="208"/>
      <c r="K169" s="208"/>
      <c r="L169" s="208" t="s">
        <v>9</v>
      </c>
      <c r="M169" s="208"/>
      <c r="N169" s="208"/>
      <c r="O169" s="208"/>
    </row>
    <row r="170" spans="1:15" ht="15.75" x14ac:dyDescent="0.25">
      <c r="A170" s="204"/>
      <c r="B170" s="205"/>
      <c r="C170" s="207"/>
      <c r="D170" s="52" t="s">
        <v>10</v>
      </c>
      <c r="E170" s="52" t="s">
        <v>11</v>
      </c>
      <c r="F170" s="52" t="s">
        <v>12</v>
      </c>
      <c r="G170" s="210"/>
      <c r="H170" s="52" t="s">
        <v>13</v>
      </c>
      <c r="I170" s="52" t="s">
        <v>14</v>
      </c>
      <c r="J170" s="52" t="s">
        <v>15</v>
      </c>
      <c r="K170" s="52" t="s">
        <v>16</v>
      </c>
      <c r="L170" s="52" t="s">
        <v>17</v>
      </c>
      <c r="M170" s="52" t="s">
        <v>18</v>
      </c>
      <c r="N170" s="52" t="s">
        <v>19</v>
      </c>
      <c r="O170" s="52" t="s">
        <v>20</v>
      </c>
    </row>
    <row r="171" spans="1:15" ht="15.75" x14ac:dyDescent="0.25">
      <c r="A171" s="6">
        <v>1</v>
      </c>
      <c r="B171" s="7">
        <v>2</v>
      </c>
      <c r="C171" s="8">
        <v>3</v>
      </c>
      <c r="D171" s="8">
        <v>4</v>
      </c>
      <c r="E171" s="8">
        <v>5</v>
      </c>
      <c r="F171" s="8">
        <v>6</v>
      </c>
      <c r="G171" s="9">
        <v>7</v>
      </c>
      <c r="H171" s="8">
        <v>8</v>
      </c>
      <c r="I171" s="8">
        <v>9</v>
      </c>
      <c r="J171" s="8">
        <v>10</v>
      </c>
      <c r="K171" s="8">
        <v>11</v>
      </c>
      <c r="L171" s="8">
        <v>12</v>
      </c>
      <c r="M171" s="8">
        <v>13</v>
      </c>
      <c r="N171" s="8">
        <v>14</v>
      </c>
      <c r="O171" s="8">
        <v>15</v>
      </c>
    </row>
    <row r="172" spans="1:15" ht="15.75" x14ac:dyDescent="0.25">
      <c r="A172" s="74"/>
      <c r="B172" s="11" t="s">
        <v>21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x14ac:dyDescent="0.25">
      <c r="A173" s="29" t="s">
        <v>139</v>
      </c>
      <c r="B173" s="17" t="s">
        <v>140</v>
      </c>
      <c r="C173" s="16">
        <v>205</v>
      </c>
      <c r="D173" s="19">
        <f>C173*6.33/205</f>
        <v>6.33</v>
      </c>
      <c r="E173" s="19">
        <v>6.9</v>
      </c>
      <c r="F173" s="19">
        <f>C173*25.49/205</f>
        <v>25.49</v>
      </c>
      <c r="G173" s="19">
        <f>C173*207.38/205</f>
        <v>207.38</v>
      </c>
      <c r="H173" s="20">
        <f>C173*0.11/205</f>
        <v>0.11</v>
      </c>
      <c r="I173" s="20">
        <f>C173*0.3/205</f>
        <v>0.3</v>
      </c>
      <c r="J173" s="20">
        <f>C173*0.01/205</f>
        <v>9.9999999999999985E-3</v>
      </c>
      <c r="K173" s="20">
        <f>C173*0.56/205</f>
        <v>0.56000000000000005</v>
      </c>
      <c r="L173" s="20">
        <v>160.41999999999999</v>
      </c>
      <c r="M173" s="20">
        <f>C173*152.75/205</f>
        <v>152.75</v>
      </c>
      <c r="N173" s="20">
        <f>C173*40.27/205</f>
        <v>40.270000000000003</v>
      </c>
      <c r="O173" s="20">
        <f>C173*1.03/205</f>
        <v>1.03</v>
      </c>
    </row>
    <row r="174" spans="1:15" ht="15.75" x14ac:dyDescent="0.25">
      <c r="A174" s="12" t="s">
        <v>141</v>
      </c>
      <c r="B174" s="17" t="s">
        <v>174</v>
      </c>
      <c r="C174" s="14">
        <v>40</v>
      </c>
      <c r="D174" s="15">
        <v>5.08</v>
      </c>
      <c r="E174" s="15">
        <v>4.5999999999999996</v>
      </c>
      <c r="F174" s="15">
        <v>0.28000000000000003</v>
      </c>
      <c r="G174" s="15">
        <v>62.8</v>
      </c>
      <c r="H174" s="37">
        <v>0.01</v>
      </c>
      <c r="I174" s="37">
        <v>0</v>
      </c>
      <c r="J174" s="37">
        <v>0.02</v>
      </c>
      <c r="K174" s="37">
        <v>0.24</v>
      </c>
      <c r="L174" s="37">
        <v>7.3</v>
      </c>
      <c r="M174" s="37">
        <v>23.96</v>
      </c>
      <c r="N174" s="37">
        <v>1.44</v>
      </c>
      <c r="O174" s="37">
        <v>0.34</v>
      </c>
    </row>
    <row r="175" spans="1:15" ht="15.75" x14ac:dyDescent="0.25">
      <c r="A175" s="12" t="s">
        <v>26</v>
      </c>
      <c r="B175" s="17" t="s">
        <v>54</v>
      </c>
      <c r="C175" s="16">
        <v>10</v>
      </c>
      <c r="D175" s="15">
        <f>C175*0.1/10</f>
        <v>0.1</v>
      </c>
      <c r="E175" s="15">
        <f>C175*7.2/10</f>
        <v>7.2</v>
      </c>
      <c r="F175" s="15">
        <f>C175*0.1/10</f>
        <v>0.1</v>
      </c>
      <c r="G175" s="15">
        <f>C175*66/10</f>
        <v>66</v>
      </c>
      <c r="H175" s="18">
        <v>0</v>
      </c>
      <c r="I175" s="18">
        <f>C175*0.28/10</f>
        <v>0.28000000000000003</v>
      </c>
      <c r="J175" s="18">
        <v>0</v>
      </c>
      <c r="K175" s="18">
        <f>C175*0.1/10</f>
        <v>0.1</v>
      </c>
      <c r="L175" s="18">
        <f>C175*2.2/10</f>
        <v>2.2000000000000002</v>
      </c>
      <c r="M175" s="18">
        <f>C175*1.9/10</f>
        <v>1.9</v>
      </c>
      <c r="N175" s="18">
        <f>C175*0.3/10</f>
        <v>0.3</v>
      </c>
      <c r="O175" s="18">
        <f>C175*0.02/10</f>
        <v>0.02</v>
      </c>
    </row>
    <row r="176" spans="1:15" ht="15.75" x14ac:dyDescent="0.25">
      <c r="A176" s="12"/>
      <c r="B176" s="17" t="s">
        <v>55</v>
      </c>
      <c r="C176" s="16">
        <v>60</v>
      </c>
      <c r="D176" s="15">
        <f>C176*6.9/100</f>
        <v>4.1399999999999997</v>
      </c>
      <c r="E176" s="19">
        <f>1*C176/100</f>
        <v>0.6</v>
      </c>
      <c r="F176" s="19">
        <f>C176*48.3/100</f>
        <v>28.98</v>
      </c>
      <c r="G176" s="19">
        <f>C176*235/100</f>
        <v>141</v>
      </c>
      <c r="H176" s="21">
        <f>C176*0.16/100</f>
        <v>9.6000000000000002E-2</v>
      </c>
      <c r="I176" s="21">
        <v>0</v>
      </c>
      <c r="J176" s="21">
        <v>0</v>
      </c>
      <c r="K176" s="21">
        <f>C176*1.3/100</f>
        <v>0.78</v>
      </c>
      <c r="L176" s="21">
        <f>C176*23/100</f>
        <v>13.8</v>
      </c>
      <c r="M176" s="21">
        <f>C176*87/100</f>
        <v>52.2</v>
      </c>
      <c r="N176" s="21">
        <f>C176*33/100</f>
        <v>19.8</v>
      </c>
      <c r="O176" s="21">
        <f>C176*2/100</f>
        <v>1.2</v>
      </c>
    </row>
    <row r="177" spans="1:15" ht="15.75" x14ac:dyDescent="0.25">
      <c r="A177" s="12" t="s">
        <v>92</v>
      </c>
      <c r="B177" s="17" t="s">
        <v>93</v>
      </c>
      <c r="C177" s="35">
        <v>200</v>
      </c>
      <c r="D177" s="36">
        <v>2.79</v>
      </c>
      <c r="E177" s="36">
        <v>2.5499999999999998</v>
      </c>
      <c r="F177" s="36">
        <v>13.27</v>
      </c>
      <c r="G177" s="36">
        <v>87.25</v>
      </c>
      <c r="H177" s="37">
        <v>0.02</v>
      </c>
      <c r="I177" s="37">
        <v>0.9</v>
      </c>
      <c r="J177" s="37">
        <v>0.02</v>
      </c>
      <c r="K177" s="37">
        <v>0</v>
      </c>
      <c r="L177" s="37">
        <v>102.01</v>
      </c>
      <c r="M177" s="37">
        <v>81.05</v>
      </c>
      <c r="N177" s="37">
        <v>15.6</v>
      </c>
      <c r="O177" s="37">
        <v>0.94</v>
      </c>
    </row>
    <row r="178" spans="1:15" ht="15.75" x14ac:dyDescent="0.25">
      <c r="A178" s="12"/>
      <c r="B178" s="17" t="s">
        <v>142</v>
      </c>
      <c r="C178" s="16">
        <v>100</v>
      </c>
      <c r="D178" s="15">
        <v>3.4</v>
      </c>
      <c r="E178" s="15">
        <v>2.5</v>
      </c>
      <c r="F178" s="15">
        <v>14.4</v>
      </c>
      <c r="G178" s="15">
        <v>85</v>
      </c>
      <c r="H178" s="15">
        <v>0.1</v>
      </c>
      <c r="I178" s="15">
        <v>0.6</v>
      </c>
      <c r="J178" s="15">
        <v>0</v>
      </c>
      <c r="K178" s="15">
        <v>0</v>
      </c>
      <c r="L178" s="15">
        <v>124</v>
      </c>
      <c r="M178" s="15">
        <v>95</v>
      </c>
      <c r="N178" s="15">
        <v>8</v>
      </c>
      <c r="O178" s="15">
        <v>0.1</v>
      </c>
    </row>
    <row r="179" spans="1:15" ht="15.75" x14ac:dyDescent="0.25">
      <c r="A179" s="12"/>
      <c r="B179" s="17" t="s">
        <v>94</v>
      </c>
      <c r="C179" s="16">
        <v>100</v>
      </c>
      <c r="D179" s="19">
        <f>C179*0.4/100</f>
        <v>0.4</v>
      </c>
      <c r="E179" s="19">
        <f>C179*0.3/100</f>
        <v>0.3</v>
      </c>
      <c r="F179" s="19">
        <f>C179*10.3/100</f>
        <v>10.3</v>
      </c>
      <c r="G179" s="19">
        <f>C179*42.9/100</f>
        <v>42.9</v>
      </c>
      <c r="H179" s="20">
        <f>C179*0.02/100</f>
        <v>0.02</v>
      </c>
      <c r="I179" s="20">
        <f>C179*2.5/100</f>
        <v>2.5</v>
      </c>
      <c r="J179" s="20">
        <f>C179*0.01/100</f>
        <v>0.01</v>
      </c>
      <c r="K179" s="20">
        <f>C179*0.3/100</f>
        <v>0.3</v>
      </c>
      <c r="L179" s="20">
        <f>C179*19/100</f>
        <v>19</v>
      </c>
      <c r="M179" s="20">
        <f>C179*16/100</f>
        <v>16</v>
      </c>
      <c r="N179" s="20">
        <f>C179*6/100</f>
        <v>6</v>
      </c>
      <c r="O179" s="20">
        <f>C179*2.3/100</f>
        <v>2.2999999999999998</v>
      </c>
    </row>
    <row r="180" spans="1:15" ht="15.75" x14ac:dyDescent="0.25">
      <c r="A180" s="41"/>
      <c r="B180" s="81" t="s">
        <v>34</v>
      </c>
      <c r="C180" s="82">
        <f>SUM(C173:C179)</f>
        <v>715</v>
      </c>
      <c r="D180" s="83">
        <f>SUM(D173:D179)</f>
        <v>22.239999999999995</v>
      </c>
      <c r="E180" s="83">
        <f>SUM(E173:E179)</f>
        <v>24.650000000000002</v>
      </c>
      <c r="F180" s="83">
        <f>SUM(F173:F179)</f>
        <v>92.820000000000007</v>
      </c>
      <c r="G180" s="83">
        <f>SUM(G173:G179)</f>
        <v>692.33</v>
      </c>
      <c r="H180" s="83">
        <v>0.34</v>
      </c>
      <c r="I180" s="83">
        <f t="shared" ref="I180:O180" si="23">SUM(I173:I179)</f>
        <v>4.58</v>
      </c>
      <c r="J180" s="83">
        <f t="shared" si="23"/>
        <v>6.0000000000000005E-2</v>
      </c>
      <c r="K180" s="83">
        <f t="shared" si="23"/>
        <v>1.9800000000000002</v>
      </c>
      <c r="L180" s="83">
        <f t="shared" si="23"/>
        <v>428.73</v>
      </c>
      <c r="M180" s="83">
        <f t="shared" si="23"/>
        <v>422.86</v>
      </c>
      <c r="N180" s="83">
        <f t="shared" si="23"/>
        <v>91.41</v>
      </c>
      <c r="O180" s="83">
        <f t="shared" si="23"/>
        <v>5.93</v>
      </c>
    </row>
    <row r="181" spans="1:15" ht="15.75" x14ac:dyDescent="0.25">
      <c r="A181" s="43"/>
      <c r="B181" s="2" t="s">
        <v>35</v>
      </c>
      <c r="C181" s="16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5.75" x14ac:dyDescent="0.25">
      <c r="A182" s="12" t="s">
        <v>143</v>
      </c>
      <c r="B182" s="17" t="s">
        <v>144</v>
      </c>
      <c r="C182" s="14">
        <v>250</v>
      </c>
      <c r="D182" s="15">
        <v>1.52</v>
      </c>
      <c r="E182" s="15">
        <v>5.28</v>
      </c>
      <c r="F182" s="15">
        <v>8.65</v>
      </c>
      <c r="G182" s="15">
        <v>89.98</v>
      </c>
      <c r="H182" s="15">
        <v>0.03</v>
      </c>
      <c r="I182" s="15">
        <v>10.69</v>
      </c>
      <c r="J182" s="15">
        <v>0.01</v>
      </c>
      <c r="K182" s="15">
        <v>2.04</v>
      </c>
      <c r="L182" s="15">
        <v>38.26</v>
      </c>
      <c r="M182" s="15">
        <v>41.42</v>
      </c>
      <c r="N182" s="15">
        <v>31.7</v>
      </c>
      <c r="O182" s="15">
        <v>0.84</v>
      </c>
    </row>
    <row r="183" spans="1:15" ht="15.75" x14ac:dyDescent="0.25">
      <c r="A183" s="12" t="s">
        <v>145</v>
      </c>
      <c r="B183" s="17" t="s">
        <v>146</v>
      </c>
      <c r="C183" s="16">
        <v>220</v>
      </c>
      <c r="D183" s="88">
        <f>C183*16/210</f>
        <v>16.761904761904763</v>
      </c>
      <c r="E183" s="15">
        <f>C183*15.9/210</f>
        <v>16.657142857142858</v>
      </c>
      <c r="F183" s="15">
        <f>C183*37.9/210</f>
        <v>39.704761904761902</v>
      </c>
      <c r="G183" s="15">
        <f>C183*359/210</f>
        <v>376.09523809523807</v>
      </c>
      <c r="H183" s="15">
        <v>0.12</v>
      </c>
      <c r="I183" s="15">
        <v>0.36</v>
      </c>
      <c r="J183" s="15">
        <v>7.0000000000000007E-2</v>
      </c>
      <c r="K183" s="15">
        <v>1.34</v>
      </c>
      <c r="L183" s="15">
        <v>40.479999999999997</v>
      </c>
      <c r="M183" s="15">
        <v>281.2</v>
      </c>
      <c r="N183" s="15">
        <v>39.92</v>
      </c>
      <c r="O183" s="15">
        <v>2.78</v>
      </c>
    </row>
    <row r="184" spans="1:15" ht="15.75" x14ac:dyDescent="0.25">
      <c r="A184" s="29" t="s">
        <v>99</v>
      </c>
      <c r="B184" s="48" t="s">
        <v>147</v>
      </c>
      <c r="C184" s="16">
        <v>120</v>
      </c>
      <c r="D184" s="19">
        <f>C184*0.98/100</f>
        <v>1.1759999999999999</v>
      </c>
      <c r="E184" s="19">
        <f>C184*5.13/100</f>
        <v>6.1560000000000006</v>
      </c>
      <c r="F184" s="19">
        <f>C184*4.54/100</f>
        <v>5.4479999999999995</v>
      </c>
      <c r="G184" s="19">
        <f>C184*65.81/100</f>
        <v>78.972000000000008</v>
      </c>
      <c r="H184" s="20">
        <f>C184*0.05/100</f>
        <v>0.06</v>
      </c>
      <c r="I184" s="20">
        <f>C184*18.27/100</f>
        <v>21.923999999999999</v>
      </c>
      <c r="J184" s="20">
        <f>C184*0.26/100</f>
        <v>0.31200000000000006</v>
      </c>
      <c r="K184" s="20">
        <f>C184*4.63/100</f>
        <v>5.556</v>
      </c>
      <c r="L184" s="20">
        <f>C184*30.49/100</f>
        <v>36.587999999999994</v>
      </c>
      <c r="M184" s="20">
        <f>C184*37.26/100</f>
        <v>44.711999999999996</v>
      </c>
      <c r="N184" s="20">
        <f>C184*18.34/100</f>
        <v>22.008000000000003</v>
      </c>
      <c r="O184" s="20">
        <f>C184*0.86/100</f>
        <v>1.032</v>
      </c>
    </row>
    <row r="185" spans="1:15" ht="15.75" x14ac:dyDescent="0.25">
      <c r="A185" s="12" t="s">
        <v>101</v>
      </c>
      <c r="B185" s="48" t="s">
        <v>102</v>
      </c>
      <c r="C185" s="16">
        <v>200</v>
      </c>
      <c r="D185" s="15">
        <v>0.33</v>
      </c>
      <c r="E185" s="15">
        <v>0</v>
      </c>
      <c r="F185" s="15">
        <v>22.66</v>
      </c>
      <c r="G185" s="15">
        <v>91.98</v>
      </c>
      <c r="H185" s="15">
        <v>0.01</v>
      </c>
      <c r="I185" s="15">
        <v>0.28000000000000003</v>
      </c>
      <c r="J185" s="15">
        <v>0.01</v>
      </c>
      <c r="K185" s="15">
        <v>0.11</v>
      </c>
      <c r="L185" s="15">
        <v>61.84</v>
      </c>
      <c r="M185" s="15">
        <v>33.630000000000003</v>
      </c>
      <c r="N185" s="15">
        <v>25.2</v>
      </c>
      <c r="O185" s="15">
        <v>7.17</v>
      </c>
    </row>
    <row r="186" spans="1:15" ht="15.75" x14ac:dyDescent="0.25">
      <c r="A186" s="40"/>
      <c r="B186" s="17" t="s">
        <v>68</v>
      </c>
      <c r="C186" s="16">
        <v>60</v>
      </c>
      <c r="D186" s="15">
        <f>C186*6.9/100</f>
        <v>4.1399999999999997</v>
      </c>
      <c r="E186" s="19">
        <f>1*C186/100</f>
        <v>0.6</v>
      </c>
      <c r="F186" s="19">
        <f>C186*48.3/100</f>
        <v>28.98</v>
      </c>
      <c r="G186" s="19">
        <f>C186*235/100</f>
        <v>141</v>
      </c>
      <c r="H186" s="21">
        <f>C186*0.16/100</f>
        <v>9.6000000000000002E-2</v>
      </c>
      <c r="I186" s="21">
        <v>0</v>
      </c>
      <c r="J186" s="21">
        <v>0</v>
      </c>
      <c r="K186" s="21">
        <f>C186*1.3/100</f>
        <v>0.78</v>
      </c>
      <c r="L186" s="21">
        <f>C186*23/100</f>
        <v>13.8</v>
      </c>
      <c r="M186" s="21">
        <f>C186*87/100</f>
        <v>52.2</v>
      </c>
      <c r="N186" s="21">
        <f>C186*33/100</f>
        <v>19.8</v>
      </c>
      <c r="O186" s="21">
        <f>C186*2/100</f>
        <v>1.2</v>
      </c>
    </row>
    <row r="187" spans="1:15" ht="15.75" x14ac:dyDescent="0.25">
      <c r="A187" s="40"/>
      <c r="B187" s="17" t="s">
        <v>69</v>
      </c>
      <c r="C187" s="16">
        <v>70</v>
      </c>
      <c r="D187" s="15">
        <f>C187*4.8/100</f>
        <v>3.36</v>
      </c>
      <c r="E187" s="19">
        <f>C187*1/100</f>
        <v>0.7</v>
      </c>
      <c r="F187" s="19">
        <f>C187*21.2/50</f>
        <v>29.68</v>
      </c>
      <c r="G187" s="19">
        <f>C187*100/50</f>
        <v>140</v>
      </c>
      <c r="H187" s="21">
        <f>C187*0.03/50</f>
        <v>4.2000000000000003E-2</v>
      </c>
      <c r="I187" s="21">
        <v>0</v>
      </c>
      <c r="J187" s="21">
        <v>0</v>
      </c>
      <c r="K187" s="21">
        <f>C187*0.07/50</f>
        <v>9.8000000000000004E-2</v>
      </c>
      <c r="L187" s="21">
        <f>C187*10.2/50</f>
        <v>14.28</v>
      </c>
      <c r="M187" s="21">
        <f>C187*42/50</f>
        <v>58.8</v>
      </c>
      <c r="N187" s="21">
        <f>C187*8.2/50</f>
        <v>11.48</v>
      </c>
      <c r="O187" s="21">
        <v>0.05</v>
      </c>
    </row>
    <row r="188" spans="1:15" ht="15.75" x14ac:dyDescent="0.25">
      <c r="A188" s="41"/>
      <c r="B188" s="124" t="s">
        <v>47</v>
      </c>
      <c r="C188" s="125">
        <f>SUM(C182:C187)</f>
        <v>920</v>
      </c>
      <c r="D188" s="126">
        <f>SUM(D182:D187)</f>
        <v>27.287904761904759</v>
      </c>
      <c r="E188" s="126">
        <f t="shared" ref="E188:O188" si="24">SUM(E182:E187)</f>
        <v>29.393142857142859</v>
      </c>
      <c r="F188" s="126">
        <f t="shared" si="24"/>
        <v>135.12276190476192</v>
      </c>
      <c r="G188" s="126">
        <f t="shared" si="24"/>
        <v>918.02723809523809</v>
      </c>
      <c r="H188" s="126">
        <f t="shared" si="24"/>
        <v>0.35799999999999998</v>
      </c>
      <c r="I188" s="126">
        <f t="shared" si="24"/>
        <v>33.253999999999998</v>
      </c>
      <c r="J188" s="126">
        <f t="shared" si="24"/>
        <v>0.40200000000000008</v>
      </c>
      <c r="K188" s="126">
        <f t="shared" si="24"/>
        <v>9.9239999999999995</v>
      </c>
      <c r="L188" s="126">
        <f t="shared" si="24"/>
        <v>205.24800000000002</v>
      </c>
      <c r="M188" s="126">
        <f t="shared" si="24"/>
        <v>511.96199999999999</v>
      </c>
      <c r="N188" s="126">
        <f t="shared" si="24"/>
        <v>150.108</v>
      </c>
      <c r="O188" s="126">
        <f t="shared" si="24"/>
        <v>13.071999999999999</v>
      </c>
    </row>
    <row r="189" spans="1:15" ht="15.75" x14ac:dyDescent="0.25">
      <c r="A189" s="43"/>
      <c r="B189" s="63" t="s">
        <v>103</v>
      </c>
      <c r="C189" s="16"/>
      <c r="D189" s="34">
        <f t="shared" ref="D189:O189" si="25">D180+D188</f>
        <v>49.52790476190475</v>
      </c>
      <c r="E189" s="34">
        <f t="shared" si="25"/>
        <v>54.043142857142861</v>
      </c>
      <c r="F189" s="34">
        <f t="shared" si="25"/>
        <v>227.94276190476194</v>
      </c>
      <c r="G189" s="34">
        <f t="shared" si="25"/>
        <v>1610.3572380952382</v>
      </c>
      <c r="H189" s="34">
        <f t="shared" si="25"/>
        <v>0.69799999999999995</v>
      </c>
      <c r="I189" s="34">
        <f t="shared" si="25"/>
        <v>37.833999999999996</v>
      </c>
      <c r="J189" s="34">
        <f t="shared" si="25"/>
        <v>0.46200000000000008</v>
      </c>
      <c r="K189" s="34">
        <f t="shared" si="25"/>
        <v>11.904</v>
      </c>
      <c r="L189" s="34">
        <f t="shared" si="25"/>
        <v>633.97800000000007</v>
      </c>
      <c r="M189" s="34">
        <f t="shared" si="25"/>
        <v>934.822</v>
      </c>
      <c r="N189" s="34">
        <f t="shared" si="25"/>
        <v>241.518</v>
      </c>
      <c r="O189" s="34">
        <f t="shared" si="25"/>
        <v>19.001999999999999</v>
      </c>
    </row>
    <row r="190" spans="1:15" ht="15.75" x14ac:dyDescent="0.25">
      <c r="A190" s="10"/>
      <c r="B190" s="220"/>
      <c r="C190" s="221"/>
      <c r="D190" s="85"/>
      <c r="E190" s="42"/>
      <c r="F190" s="42"/>
      <c r="G190" s="42"/>
      <c r="H190" s="85"/>
      <c r="I190" s="42"/>
      <c r="J190" s="42"/>
      <c r="K190" s="42"/>
      <c r="L190" s="42"/>
      <c r="M190" s="42"/>
      <c r="N190" s="42"/>
      <c r="O190" s="85"/>
    </row>
    <row r="191" spans="1:15" ht="15.75" x14ac:dyDescent="0.25">
      <c r="A191" s="10"/>
      <c r="B191" s="211" t="s">
        <v>148</v>
      </c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</row>
    <row r="192" spans="1:15" ht="15.75" x14ac:dyDescent="0.25">
      <c r="A192" s="203" t="s">
        <v>3</v>
      </c>
      <c r="B192" s="205" t="s">
        <v>4</v>
      </c>
      <c r="C192" s="206" t="s">
        <v>5</v>
      </c>
      <c r="D192" s="208" t="s">
        <v>6</v>
      </c>
      <c r="E192" s="208"/>
      <c r="F192" s="208"/>
      <c r="G192" s="209" t="s">
        <v>7</v>
      </c>
      <c r="H192" s="208" t="s">
        <v>8</v>
      </c>
      <c r="I192" s="208"/>
      <c r="J192" s="208"/>
      <c r="K192" s="208"/>
      <c r="L192" s="208" t="s">
        <v>9</v>
      </c>
      <c r="M192" s="208"/>
      <c r="N192" s="208"/>
      <c r="O192" s="208"/>
    </row>
    <row r="193" spans="1:15" ht="15.75" x14ac:dyDescent="0.25">
      <c r="A193" s="204"/>
      <c r="B193" s="205"/>
      <c r="C193" s="207"/>
      <c r="D193" s="52" t="s">
        <v>10</v>
      </c>
      <c r="E193" s="52" t="s">
        <v>11</v>
      </c>
      <c r="F193" s="52" t="s">
        <v>12</v>
      </c>
      <c r="G193" s="210"/>
      <c r="H193" s="52" t="s">
        <v>13</v>
      </c>
      <c r="I193" s="52" t="s">
        <v>14</v>
      </c>
      <c r="J193" s="52" t="s">
        <v>15</v>
      </c>
      <c r="K193" s="52" t="s">
        <v>16</v>
      </c>
      <c r="L193" s="52" t="s">
        <v>17</v>
      </c>
      <c r="M193" s="52" t="s">
        <v>18</v>
      </c>
      <c r="N193" s="52" t="s">
        <v>19</v>
      </c>
      <c r="O193" s="52" t="s">
        <v>20</v>
      </c>
    </row>
    <row r="194" spans="1:15" ht="15.75" x14ac:dyDescent="0.25">
      <c r="A194" s="6">
        <v>1</v>
      </c>
      <c r="B194" s="7">
        <v>2</v>
      </c>
      <c r="C194" s="8">
        <v>3</v>
      </c>
      <c r="D194" s="8">
        <v>4</v>
      </c>
      <c r="E194" s="8">
        <v>5</v>
      </c>
      <c r="F194" s="8">
        <v>6</v>
      </c>
      <c r="G194" s="9">
        <v>7</v>
      </c>
      <c r="H194" s="8">
        <v>8</v>
      </c>
      <c r="I194" s="8">
        <v>9</v>
      </c>
      <c r="J194" s="8">
        <v>10</v>
      </c>
      <c r="K194" s="8">
        <v>11</v>
      </c>
      <c r="L194" s="8">
        <v>12</v>
      </c>
      <c r="M194" s="8">
        <v>13</v>
      </c>
      <c r="N194" s="8">
        <v>14</v>
      </c>
      <c r="O194" s="8">
        <v>15</v>
      </c>
    </row>
    <row r="195" spans="1:15" ht="15.75" x14ac:dyDescent="0.25">
      <c r="A195" s="43"/>
      <c r="B195" s="54" t="s">
        <v>21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ht="15.75" x14ac:dyDescent="0.25">
      <c r="A196" s="29" t="s">
        <v>149</v>
      </c>
      <c r="B196" s="13" t="s">
        <v>150</v>
      </c>
      <c r="C196" s="16">
        <v>180</v>
      </c>
      <c r="D196" s="19">
        <f>C196*9.59/180</f>
        <v>9.59</v>
      </c>
      <c r="E196" s="19">
        <f>C196*29.39/180</f>
        <v>29.39</v>
      </c>
      <c r="F196" s="19">
        <f>C196*3.41/180</f>
        <v>3.4100000000000006</v>
      </c>
      <c r="G196" s="19">
        <f>C196*315.53/180</f>
        <v>315.52999999999997</v>
      </c>
      <c r="H196" s="20">
        <v>0.11</v>
      </c>
      <c r="I196" s="20">
        <v>0.53</v>
      </c>
      <c r="J196" s="20">
        <v>0.08</v>
      </c>
      <c r="K196" s="20">
        <v>0.81</v>
      </c>
      <c r="L196" s="20">
        <v>90.41</v>
      </c>
      <c r="M196" s="20">
        <v>148.01</v>
      </c>
      <c r="N196" s="20">
        <v>17.239999999999998</v>
      </c>
      <c r="O196" s="20">
        <v>1.35</v>
      </c>
    </row>
    <row r="197" spans="1:15" ht="15.75" x14ac:dyDescent="0.25">
      <c r="A197" s="62" t="s">
        <v>115</v>
      </c>
      <c r="B197" s="17" t="s">
        <v>116</v>
      </c>
      <c r="C197" s="16">
        <v>50</v>
      </c>
      <c r="D197" s="57">
        <f>C197*2.73/200</f>
        <v>0.6825</v>
      </c>
      <c r="E197" s="57">
        <f>C197*10.45/200</f>
        <v>2.6124999999999998</v>
      </c>
      <c r="F197" s="57">
        <f>C197*14.72/200</f>
        <v>3.68</v>
      </c>
      <c r="G197" s="57">
        <f>C197*157.3/200</f>
        <v>39.325000000000003</v>
      </c>
      <c r="H197" s="57">
        <f>C197*0.09/200</f>
        <v>2.2499999999999999E-2</v>
      </c>
      <c r="I197" s="57">
        <v>0</v>
      </c>
      <c r="J197" s="57">
        <v>0</v>
      </c>
      <c r="K197" s="57">
        <f>C197*4.7/200</f>
        <v>1.175</v>
      </c>
      <c r="L197" s="57">
        <v>55.31</v>
      </c>
      <c r="M197" s="57">
        <f>C197*63.69/200</f>
        <v>15.922499999999999</v>
      </c>
      <c r="N197" s="57">
        <v>0</v>
      </c>
      <c r="O197" s="57">
        <f>C197*1.72/200</f>
        <v>0.43</v>
      </c>
    </row>
    <row r="198" spans="1:15" ht="15.75" x14ac:dyDescent="0.25">
      <c r="A198" s="12" t="s">
        <v>73</v>
      </c>
      <c r="B198" s="17" t="s">
        <v>151</v>
      </c>
      <c r="C198" s="55">
        <v>200</v>
      </c>
      <c r="D198" s="55">
        <v>4.8499999999999996</v>
      </c>
      <c r="E198" s="55">
        <v>5.04</v>
      </c>
      <c r="F198" s="55">
        <v>32.729999999999997</v>
      </c>
      <c r="G198" s="55">
        <v>195.71</v>
      </c>
      <c r="H198" s="16">
        <v>0.03</v>
      </c>
      <c r="I198" s="16">
        <v>0.32</v>
      </c>
      <c r="J198" s="16">
        <v>0.02</v>
      </c>
      <c r="K198" s="16">
        <v>0.02</v>
      </c>
      <c r="L198" s="16">
        <v>131.72</v>
      </c>
      <c r="M198" s="16">
        <v>122.34</v>
      </c>
      <c r="N198" s="16">
        <v>17.02</v>
      </c>
      <c r="O198" s="16">
        <v>0.66</v>
      </c>
    </row>
    <row r="199" spans="1:15" ht="15.75" x14ac:dyDescent="0.25">
      <c r="A199" s="12"/>
      <c r="B199" s="17" t="s">
        <v>55</v>
      </c>
      <c r="C199" s="16">
        <v>50</v>
      </c>
      <c r="D199" s="15">
        <f>C199*6.9/100</f>
        <v>3.45</v>
      </c>
      <c r="E199" s="19">
        <f>1*C199/100</f>
        <v>0.5</v>
      </c>
      <c r="F199" s="19">
        <f>C199*48.3/100</f>
        <v>24.15</v>
      </c>
      <c r="G199" s="19">
        <f>C199*235/100</f>
        <v>117.5</v>
      </c>
      <c r="H199" s="21">
        <f>C199*0.16/100</f>
        <v>0.08</v>
      </c>
      <c r="I199" s="21">
        <v>0</v>
      </c>
      <c r="J199" s="21">
        <v>0</v>
      </c>
      <c r="K199" s="21">
        <f>C199*1.3/100</f>
        <v>0.65</v>
      </c>
      <c r="L199" s="21">
        <f>C199*23/100</f>
        <v>11.5</v>
      </c>
      <c r="M199" s="21">
        <f>C199*87/100</f>
        <v>43.5</v>
      </c>
      <c r="N199" s="21">
        <f>C199*33/100</f>
        <v>16.5</v>
      </c>
      <c r="O199" s="21">
        <f>C199*2/100</f>
        <v>1</v>
      </c>
    </row>
    <row r="200" spans="1:15" ht="15.75" x14ac:dyDescent="0.25">
      <c r="A200" s="12" t="s">
        <v>26</v>
      </c>
      <c r="B200" s="17" t="s">
        <v>54</v>
      </c>
      <c r="C200" s="16">
        <v>10</v>
      </c>
      <c r="D200" s="15">
        <f>C200*0.1/10</f>
        <v>0.1</v>
      </c>
      <c r="E200" s="15">
        <f>C200*7.2/10</f>
        <v>7.2</v>
      </c>
      <c r="F200" s="15">
        <f>C200*0.1/10</f>
        <v>0.1</v>
      </c>
      <c r="G200" s="15">
        <f>C200*66/10</f>
        <v>66</v>
      </c>
      <c r="H200" s="18">
        <v>0</v>
      </c>
      <c r="I200" s="18">
        <f>C200*0.28/10</f>
        <v>0.28000000000000003</v>
      </c>
      <c r="J200" s="18">
        <v>0</v>
      </c>
      <c r="K200" s="18">
        <f>C200*0.1/10</f>
        <v>0.1</v>
      </c>
      <c r="L200" s="18">
        <f>C200*2.2/10</f>
        <v>2.2000000000000002</v>
      </c>
      <c r="M200" s="18">
        <f>C200*1.9/10</f>
        <v>1.9</v>
      </c>
      <c r="N200" s="18">
        <f>C200*0.3/10</f>
        <v>0.3</v>
      </c>
      <c r="O200" s="18">
        <f>C200*0.02/10</f>
        <v>0.02</v>
      </c>
    </row>
    <row r="201" spans="1:15" ht="15.75" x14ac:dyDescent="0.25">
      <c r="A201" s="12" t="s">
        <v>31</v>
      </c>
      <c r="B201" s="17" t="s">
        <v>76</v>
      </c>
      <c r="C201" s="16">
        <v>200</v>
      </c>
      <c r="D201" s="15">
        <v>2</v>
      </c>
      <c r="E201" s="15">
        <v>0.2</v>
      </c>
      <c r="F201" s="15">
        <v>5.8</v>
      </c>
      <c r="G201" s="15">
        <v>36</v>
      </c>
      <c r="H201" s="15">
        <v>0.04</v>
      </c>
      <c r="I201" s="15">
        <v>8</v>
      </c>
      <c r="J201" s="15">
        <v>0.01</v>
      </c>
      <c r="K201" s="15">
        <v>0.2</v>
      </c>
      <c r="L201" s="15">
        <v>40</v>
      </c>
      <c r="M201" s="15">
        <v>36</v>
      </c>
      <c r="N201" s="15">
        <v>20</v>
      </c>
      <c r="O201" s="15">
        <v>0.4</v>
      </c>
    </row>
    <row r="202" spans="1:15" ht="15.75" x14ac:dyDescent="0.25">
      <c r="A202" s="12"/>
      <c r="B202" s="17" t="s">
        <v>152</v>
      </c>
      <c r="C202" s="16">
        <v>100</v>
      </c>
      <c r="D202" s="15">
        <f>C202*0.8/100</f>
        <v>0.8</v>
      </c>
      <c r="E202" s="15">
        <f>C202*0.2/100</f>
        <v>0.2</v>
      </c>
      <c r="F202" s="15">
        <f>C202*7.5/100</f>
        <v>7.5</v>
      </c>
      <c r="G202" s="15">
        <f>C202*33.1/100</f>
        <v>33.1</v>
      </c>
      <c r="H202" s="15">
        <f>C202*0.06/100</f>
        <v>0.06</v>
      </c>
      <c r="I202" s="15">
        <f>C202*8/100</f>
        <v>8</v>
      </c>
      <c r="J202" s="15">
        <f>C202*0.06/100</f>
        <v>0.06</v>
      </c>
      <c r="K202" s="15">
        <f>C202*0.2/100</f>
        <v>0.2</v>
      </c>
      <c r="L202" s="15">
        <f>C202*35/100</f>
        <v>35</v>
      </c>
      <c r="M202" s="15">
        <f>C202*17/100</f>
        <v>17</v>
      </c>
      <c r="N202" s="15">
        <f>C202*5/100</f>
        <v>5</v>
      </c>
      <c r="O202" s="15">
        <f>C202*0.1/100</f>
        <v>0.1</v>
      </c>
    </row>
    <row r="203" spans="1:15" ht="15.75" x14ac:dyDescent="0.25">
      <c r="A203" s="41"/>
      <c r="B203" s="81" t="s">
        <v>34</v>
      </c>
      <c r="C203" s="82">
        <f t="shared" ref="C203:O203" si="26">SUM(C196:C202)</f>
        <v>790</v>
      </c>
      <c r="D203" s="91">
        <f t="shared" si="26"/>
        <v>21.4725</v>
      </c>
      <c r="E203" s="91">
        <f t="shared" si="26"/>
        <v>45.142500000000005</v>
      </c>
      <c r="F203" s="91">
        <f t="shared" si="26"/>
        <v>77.36999999999999</v>
      </c>
      <c r="G203" s="91">
        <f t="shared" si="26"/>
        <v>803.16499999999996</v>
      </c>
      <c r="H203" s="91">
        <f t="shared" si="26"/>
        <v>0.34249999999999997</v>
      </c>
      <c r="I203" s="91">
        <f t="shared" si="26"/>
        <v>17.130000000000003</v>
      </c>
      <c r="J203" s="91">
        <f t="shared" si="26"/>
        <v>0.16999999999999998</v>
      </c>
      <c r="K203" s="91">
        <f t="shared" si="26"/>
        <v>3.1550000000000002</v>
      </c>
      <c r="L203" s="91">
        <f t="shared" si="26"/>
        <v>366.14</v>
      </c>
      <c r="M203" s="91">
        <f t="shared" si="26"/>
        <v>384.67250000000001</v>
      </c>
      <c r="N203" s="91">
        <f t="shared" si="26"/>
        <v>76.06</v>
      </c>
      <c r="O203" s="91">
        <f t="shared" si="26"/>
        <v>3.96</v>
      </c>
    </row>
    <row r="204" spans="1:15" ht="15.75" x14ac:dyDescent="0.25">
      <c r="A204" s="43"/>
      <c r="B204" s="2" t="s">
        <v>35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ht="15.75" x14ac:dyDescent="0.25">
      <c r="A205" s="12" t="s">
        <v>153</v>
      </c>
      <c r="B205" s="58" t="s">
        <v>154</v>
      </c>
      <c r="C205" s="14">
        <v>250</v>
      </c>
      <c r="D205" s="15">
        <f>C205*3.33/250</f>
        <v>3.33</v>
      </c>
      <c r="E205" s="15">
        <f>C205*5.48/250</f>
        <v>5.48</v>
      </c>
      <c r="F205" s="15">
        <f>C205*21.29/250</f>
        <v>21.29</v>
      </c>
      <c r="G205" s="15">
        <f>C205*147.2/250</f>
        <v>147.19999999999999</v>
      </c>
      <c r="H205" s="15">
        <f>C205*0.01/250</f>
        <v>0.01</v>
      </c>
      <c r="I205" s="15">
        <f>C205*0.44/250</f>
        <v>0.44</v>
      </c>
      <c r="J205" s="15">
        <v>0</v>
      </c>
      <c r="K205" s="15">
        <f>C205*0.18/250</f>
        <v>0.18</v>
      </c>
      <c r="L205" s="15">
        <f>C205*12.41/250</f>
        <v>12.41</v>
      </c>
      <c r="M205" s="15">
        <f>C205*57.13/250</f>
        <v>57.13</v>
      </c>
      <c r="N205" s="15">
        <f>C205*16.63/250</f>
        <v>16.63</v>
      </c>
      <c r="O205" s="15">
        <f>C205*0.41/250</f>
        <v>0.41</v>
      </c>
    </row>
    <row r="206" spans="1:15" ht="15.75" x14ac:dyDescent="0.25">
      <c r="A206" s="12" t="s">
        <v>110</v>
      </c>
      <c r="B206" s="17" t="s">
        <v>111</v>
      </c>
      <c r="C206" s="16">
        <v>180</v>
      </c>
      <c r="D206" s="15">
        <f>C206*5.82/100</f>
        <v>10.476000000000001</v>
      </c>
      <c r="E206" s="19">
        <f>C206*3.62/100</f>
        <v>6.516</v>
      </c>
      <c r="F206" s="19">
        <f>C206*30/100</f>
        <v>54</v>
      </c>
      <c r="G206" s="19">
        <f>C206*175.87/100</f>
        <v>316.56600000000003</v>
      </c>
      <c r="H206" s="21">
        <f>C206*0.14/100</f>
        <v>0.252</v>
      </c>
      <c r="I206" s="21">
        <f>C206*0.13/100</f>
        <v>0.23400000000000001</v>
      </c>
      <c r="J206" s="21">
        <v>0</v>
      </c>
      <c r="K206" s="21">
        <f>C206*0.32/100</f>
        <v>0.57600000000000007</v>
      </c>
      <c r="L206" s="21">
        <v>58.64</v>
      </c>
      <c r="M206" s="21">
        <f>C206*135.17/100</f>
        <v>243.30599999999998</v>
      </c>
      <c r="N206" s="21">
        <f>C206*35.29/100</f>
        <v>63.521999999999998</v>
      </c>
      <c r="O206" s="21">
        <v>2</v>
      </c>
    </row>
    <row r="207" spans="1:15" ht="15.75" x14ac:dyDescent="0.25">
      <c r="A207" s="12" t="s">
        <v>155</v>
      </c>
      <c r="B207" s="17" t="s">
        <v>175</v>
      </c>
      <c r="C207" s="16">
        <v>100</v>
      </c>
      <c r="D207" s="15">
        <f>C207*21.72/120</f>
        <v>18.100000000000001</v>
      </c>
      <c r="E207" s="15">
        <f>C207*25.11/120</f>
        <v>20.925000000000001</v>
      </c>
      <c r="F207" s="15">
        <f>C207*3.85/120</f>
        <v>3.2083333333333335</v>
      </c>
      <c r="G207" s="15">
        <f>C207*325.69/120</f>
        <v>271.40833333333336</v>
      </c>
      <c r="H207" s="15">
        <f>C207*0.11/120</f>
        <v>9.166666666666666E-2</v>
      </c>
      <c r="I207" s="15">
        <f>C207*0.46/120</f>
        <v>0.38333333333333336</v>
      </c>
      <c r="J207" s="15">
        <f>C207*0.01/120</f>
        <v>8.3333333333333332E-3</v>
      </c>
      <c r="K207" s="15">
        <f>C207*0.76/120</f>
        <v>0.6333333333333333</v>
      </c>
      <c r="L207" s="15">
        <f>C207*29.72/120</f>
        <v>24.766666666666666</v>
      </c>
      <c r="M207" s="15">
        <f>C207*223.17/120</f>
        <v>185.97499999999999</v>
      </c>
      <c r="N207" s="15">
        <f>C207*35.49/120</f>
        <v>29.574999999999999</v>
      </c>
      <c r="O207" s="15">
        <f>C207*2.29/120</f>
        <v>1.9083333333333334</v>
      </c>
    </row>
    <row r="208" spans="1:15" ht="15.75" x14ac:dyDescent="0.25">
      <c r="A208" s="89" t="s">
        <v>156</v>
      </c>
      <c r="B208" s="90" t="s">
        <v>157</v>
      </c>
      <c r="C208" s="16">
        <v>100</v>
      </c>
      <c r="D208" s="19">
        <v>1</v>
      </c>
      <c r="E208" s="19">
        <v>10.16</v>
      </c>
      <c r="F208" s="19">
        <v>4.5999999999999996</v>
      </c>
      <c r="G208" s="19">
        <v>113.92</v>
      </c>
      <c r="H208" s="20">
        <v>0.05</v>
      </c>
      <c r="I208" s="20">
        <v>20.47</v>
      </c>
      <c r="J208" s="20">
        <v>0</v>
      </c>
      <c r="K208" s="20">
        <v>5.07</v>
      </c>
      <c r="L208" s="20">
        <v>12.74</v>
      </c>
      <c r="M208" s="20">
        <v>23.66</v>
      </c>
      <c r="N208" s="20">
        <v>18.2</v>
      </c>
      <c r="O208" s="20">
        <v>0.82</v>
      </c>
    </row>
    <row r="209" spans="1:15" ht="15.75" x14ac:dyDescent="0.25">
      <c r="A209" s="29" t="s">
        <v>158</v>
      </c>
      <c r="B209" s="17" t="s">
        <v>159</v>
      </c>
      <c r="C209" s="35">
        <v>200</v>
      </c>
      <c r="D209" s="36">
        <v>0.25</v>
      </c>
      <c r="E209" s="36">
        <v>0.25</v>
      </c>
      <c r="F209" s="36">
        <v>25.35</v>
      </c>
      <c r="G209" s="36">
        <v>104.07</v>
      </c>
      <c r="H209" s="21">
        <v>0.01</v>
      </c>
      <c r="I209" s="21">
        <v>2.7</v>
      </c>
      <c r="J209" s="21">
        <v>0.01</v>
      </c>
      <c r="K209" s="21">
        <v>0.11</v>
      </c>
      <c r="L209" s="21">
        <v>9.3000000000000007</v>
      </c>
      <c r="M209" s="21">
        <v>5.49</v>
      </c>
      <c r="N209" s="37">
        <v>4</v>
      </c>
      <c r="O209" s="37">
        <v>0.34</v>
      </c>
    </row>
    <row r="210" spans="1:15" ht="15.75" x14ac:dyDescent="0.25">
      <c r="A210" s="40"/>
      <c r="B210" s="17" t="s">
        <v>68</v>
      </c>
      <c r="C210" s="16">
        <v>30</v>
      </c>
      <c r="D210" s="15">
        <f>C210*6.9/100</f>
        <v>2.0699999999999998</v>
      </c>
      <c r="E210" s="19">
        <f>1*C210/100</f>
        <v>0.3</v>
      </c>
      <c r="F210" s="19">
        <f>C210*48.3/100</f>
        <v>14.49</v>
      </c>
      <c r="G210" s="19">
        <f>C210*235/100</f>
        <v>70.5</v>
      </c>
      <c r="H210" s="21">
        <f>C210*0.16/100</f>
        <v>4.8000000000000001E-2</v>
      </c>
      <c r="I210" s="21">
        <v>0</v>
      </c>
      <c r="J210" s="21">
        <v>0</v>
      </c>
      <c r="K210" s="21">
        <f>C210*1.3/100</f>
        <v>0.39</v>
      </c>
      <c r="L210" s="21">
        <f>C210*23/100</f>
        <v>6.9</v>
      </c>
      <c r="M210" s="21">
        <f>C210*87/100</f>
        <v>26.1</v>
      </c>
      <c r="N210" s="21">
        <f>C210*33/100</f>
        <v>9.9</v>
      </c>
      <c r="O210" s="21">
        <f>C210*2/100</f>
        <v>0.6</v>
      </c>
    </row>
    <row r="211" spans="1:15" ht="15.75" x14ac:dyDescent="0.25">
      <c r="A211" s="40"/>
      <c r="B211" s="17" t="s">
        <v>69</v>
      </c>
      <c r="C211" s="16">
        <v>40</v>
      </c>
      <c r="D211" s="15">
        <f>C211*4.8/100</f>
        <v>1.92</v>
      </c>
      <c r="E211" s="19">
        <f>C211*1/100</f>
        <v>0.4</v>
      </c>
      <c r="F211" s="19">
        <f>C211*21.2/50</f>
        <v>16.96</v>
      </c>
      <c r="G211" s="19">
        <f>C211*100/50</f>
        <v>80</v>
      </c>
      <c r="H211" s="21">
        <f>C211*0.03/50</f>
        <v>2.4E-2</v>
      </c>
      <c r="I211" s="21">
        <v>0</v>
      </c>
      <c r="J211" s="21">
        <v>0</v>
      </c>
      <c r="K211" s="21">
        <f>C211*0.07/50</f>
        <v>5.6000000000000008E-2</v>
      </c>
      <c r="L211" s="21">
        <f>C211*10.2/50</f>
        <v>8.16</v>
      </c>
      <c r="M211" s="21">
        <f>C211*42/50</f>
        <v>33.6</v>
      </c>
      <c r="N211" s="21">
        <f>C211*8.2/50</f>
        <v>6.56</v>
      </c>
      <c r="O211" s="21">
        <v>0.05</v>
      </c>
    </row>
    <row r="212" spans="1:15" ht="15.75" x14ac:dyDescent="0.25">
      <c r="A212" s="41"/>
      <c r="B212" s="124" t="s">
        <v>47</v>
      </c>
      <c r="C212" s="127">
        <f t="shared" ref="C212:O212" si="27">SUM(C205:C211)</f>
        <v>900</v>
      </c>
      <c r="D212" s="127">
        <f t="shared" si="27"/>
        <v>37.146000000000008</v>
      </c>
      <c r="E212" s="127">
        <f t="shared" si="27"/>
        <v>44.030999999999999</v>
      </c>
      <c r="F212" s="127">
        <f t="shared" si="27"/>
        <v>139.89833333333331</v>
      </c>
      <c r="G212" s="127">
        <f t="shared" si="27"/>
        <v>1103.6643333333334</v>
      </c>
      <c r="H212" s="127">
        <f t="shared" si="27"/>
        <v>0.48566666666666669</v>
      </c>
      <c r="I212" s="127">
        <f t="shared" si="27"/>
        <v>24.227333333333331</v>
      </c>
      <c r="J212" s="127">
        <f t="shared" si="27"/>
        <v>1.8333333333333333E-2</v>
      </c>
      <c r="K212" s="127">
        <f t="shared" si="27"/>
        <v>7.0153333333333334</v>
      </c>
      <c r="L212" s="127">
        <f t="shared" si="27"/>
        <v>132.91666666666666</v>
      </c>
      <c r="M212" s="127">
        <f t="shared" si="27"/>
        <v>575.26099999999997</v>
      </c>
      <c r="N212" s="127">
        <f t="shared" si="27"/>
        <v>148.38700000000003</v>
      </c>
      <c r="O212" s="127">
        <f t="shared" si="27"/>
        <v>6.128333333333333</v>
      </c>
    </row>
    <row r="213" spans="1:15" ht="15.75" x14ac:dyDescent="0.25">
      <c r="A213" s="43"/>
      <c r="B213" s="63" t="s">
        <v>103</v>
      </c>
      <c r="C213" s="24"/>
      <c r="D213" s="34">
        <f t="shared" ref="D213:O213" si="28">D203+D212</f>
        <v>58.618500000000012</v>
      </c>
      <c r="E213" s="34">
        <f t="shared" si="28"/>
        <v>89.173500000000004</v>
      </c>
      <c r="F213" s="34">
        <f t="shared" si="28"/>
        <v>217.26833333333332</v>
      </c>
      <c r="G213" s="34">
        <f t="shared" si="28"/>
        <v>1906.8293333333334</v>
      </c>
      <c r="H213" s="34">
        <f t="shared" si="28"/>
        <v>0.82816666666666672</v>
      </c>
      <c r="I213" s="34">
        <f t="shared" si="28"/>
        <v>41.35733333333333</v>
      </c>
      <c r="J213" s="34">
        <f t="shared" si="28"/>
        <v>0.18833333333333332</v>
      </c>
      <c r="K213" s="34">
        <f t="shared" si="28"/>
        <v>10.170333333333334</v>
      </c>
      <c r="L213" s="34">
        <f t="shared" si="28"/>
        <v>499.05666666666662</v>
      </c>
      <c r="M213" s="34">
        <f t="shared" si="28"/>
        <v>959.93349999999998</v>
      </c>
      <c r="N213" s="34">
        <f t="shared" si="28"/>
        <v>224.44700000000003</v>
      </c>
      <c r="O213" s="34">
        <f t="shared" si="28"/>
        <v>10.088333333333333</v>
      </c>
    </row>
    <row r="214" spans="1:15" ht="15.75" x14ac:dyDescent="0.25">
      <c r="A214" s="41"/>
      <c r="B214" s="23"/>
      <c r="C214" s="8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.75" x14ac:dyDescent="0.25">
      <c r="A215" s="10"/>
      <c r="B215" s="211" t="s">
        <v>160</v>
      </c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</row>
    <row r="216" spans="1:15" ht="15.75" x14ac:dyDescent="0.25">
      <c r="A216" s="203" t="s">
        <v>3</v>
      </c>
      <c r="B216" s="205" t="s">
        <v>4</v>
      </c>
      <c r="C216" s="209" t="s">
        <v>5</v>
      </c>
      <c r="D216" s="208" t="s">
        <v>6</v>
      </c>
      <c r="E216" s="208"/>
      <c r="F216" s="208"/>
      <c r="G216" s="209" t="s">
        <v>7</v>
      </c>
      <c r="H216" s="208" t="s">
        <v>8</v>
      </c>
      <c r="I216" s="208"/>
      <c r="J216" s="208"/>
      <c r="K216" s="208"/>
      <c r="L216" s="208" t="s">
        <v>9</v>
      </c>
      <c r="M216" s="208"/>
      <c r="N216" s="208"/>
      <c r="O216" s="208"/>
    </row>
    <row r="217" spans="1:15" ht="15.75" x14ac:dyDescent="0.25">
      <c r="A217" s="204"/>
      <c r="B217" s="205"/>
      <c r="C217" s="210"/>
      <c r="D217" s="52" t="s">
        <v>10</v>
      </c>
      <c r="E217" s="52" t="s">
        <v>11</v>
      </c>
      <c r="F217" s="52" t="s">
        <v>12</v>
      </c>
      <c r="G217" s="210"/>
      <c r="H217" s="52" t="s">
        <v>13</v>
      </c>
      <c r="I217" s="52" t="s">
        <v>14</v>
      </c>
      <c r="J217" s="52" t="s">
        <v>15</v>
      </c>
      <c r="K217" s="52" t="s">
        <v>16</v>
      </c>
      <c r="L217" s="52" t="s">
        <v>17</v>
      </c>
      <c r="M217" s="52" t="s">
        <v>18</v>
      </c>
      <c r="N217" s="52" t="s">
        <v>19</v>
      </c>
      <c r="O217" s="52" t="s">
        <v>20</v>
      </c>
    </row>
    <row r="218" spans="1:15" ht="15.75" x14ac:dyDescent="0.25">
      <c r="A218" s="6">
        <v>1</v>
      </c>
      <c r="B218" s="7">
        <v>2</v>
      </c>
      <c r="C218" s="8">
        <v>3</v>
      </c>
      <c r="D218" s="8">
        <v>4</v>
      </c>
      <c r="E218" s="8">
        <v>5</v>
      </c>
      <c r="F218" s="8">
        <v>6</v>
      </c>
      <c r="G218" s="9">
        <v>7</v>
      </c>
      <c r="H218" s="8">
        <v>8</v>
      </c>
      <c r="I218" s="8">
        <v>9</v>
      </c>
      <c r="J218" s="8">
        <v>10</v>
      </c>
      <c r="K218" s="8">
        <v>11</v>
      </c>
      <c r="L218" s="8">
        <v>12</v>
      </c>
      <c r="M218" s="8">
        <v>13</v>
      </c>
      <c r="N218" s="8">
        <v>14</v>
      </c>
      <c r="O218" s="8">
        <v>15</v>
      </c>
    </row>
    <row r="219" spans="1:15" ht="15.75" x14ac:dyDescent="0.25">
      <c r="A219" s="43"/>
      <c r="B219" s="54" t="s">
        <v>21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ht="15.75" x14ac:dyDescent="0.25">
      <c r="A220" s="12" t="s">
        <v>161</v>
      </c>
      <c r="B220" s="17" t="s">
        <v>162</v>
      </c>
      <c r="C220" s="14">
        <v>200</v>
      </c>
      <c r="D220" s="15">
        <f>C220*7.94/205</f>
        <v>7.7463414634146339</v>
      </c>
      <c r="E220" s="15">
        <f>C220*8.21/205</f>
        <v>8.0097560975609774</v>
      </c>
      <c r="F220" s="15">
        <f>C220*35.13/205</f>
        <v>34.273170731707324</v>
      </c>
      <c r="G220" s="15">
        <f>C220*246.17/205</f>
        <v>240.16585365853658</v>
      </c>
      <c r="H220" s="15">
        <f>C220*0.14/205</f>
        <v>0.13658536585365855</v>
      </c>
      <c r="I220" s="18">
        <f>C220*0.37/205</f>
        <v>0.36097560975609755</v>
      </c>
      <c r="J220" s="18">
        <f>C220*0.02/205</f>
        <v>1.9512195121951219E-2</v>
      </c>
      <c r="K220" s="18">
        <f>C220*0.29/205</f>
        <v>0.28292682926829266</v>
      </c>
      <c r="L220" s="18">
        <v>165</v>
      </c>
      <c r="M220" s="18">
        <f>C220*188.12/205</f>
        <v>183.53170731707317</v>
      </c>
      <c r="N220" s="18">
        <f>C220*37.48/205</f>
        <v>36.565853658536582</v>
      </c>
      <c r="O220" s="18">
        <f>C220*2.37/205</f>
        <v>2.3121951219512193</v>
      </c>
    </row>
    <row r="221" spans="1:15" ht="15.75" x14ac:dyDescent="0.25">
      <c r="A221" s="12" t="s">
        <v>26</v>
      </c>
      <c r="B221" s="17" t="s">
        <v>54</v>
      </c>
      <c r="C221" s="16">
        <v>10</v>
      </c>
      <c r="D221" s="15">
        <f>C221*0.1/10</f>
        <v>0.1</v>
      </c>
      <c r="E221" s="15">
        <f>C221*7.2/10</f>
        <v>7.2</v>
      </c>
      <c r="F221" s="15">
        <f>C221*0.1/10</f>
        <v>0.1</v>
      </c>
      <c r="G221" s="15">
        <f>C221*66/10</f>
        <v>66</v>
      </c>
      <c r="H221" s="18">
        <v>0</v>
      </c>
      <c r="I221" s="18">
        <f>C221*0.28/10</f>
        <v>0.28000000000000003</v>
      </c>
      <c r="J221" s="18">
        <v>0</v>
      </c>
      <c r="K221" s="18">
        <f>C221*0.1/10</f>
        <v>0.1</v>
      </c>
      <c r="L221" s="18">
        <f>C221*2.2/10</f>
        <v>2.2000000000000002</v>
      </c>
      <c r="M221" s="18">
        <f>C221*1.9/10</f>
        <v>1.9</v>
      </c>
      <c r="N221" s="18">
        <f>C221*0.3/10</f>
        <v>0.3</v>
      </c>
      <c r="O221" s="18">
        <f>C221*0.02/10</f>
        <v>0.02</v>
      </c>
    </row>
    <row r="222" spans="1:15" ht="15.75" x14ac:dyDescent="0.25">
      <c r="A222" s="12" t="s">
        <v>28</v>
      </c>
      <c r="B222" s="17" t="s">
        <v>75</v>
      </c>
      <c r="C222" s="14">
        <v>15</v>
      </c>
      <c r="D222" s="15">
        <f>C222*6.96/30</f>
        <v>3.48</v>
      </c>
      <c r="E222" s="19">
        <f>C222*8.85/30</f>
        <v>4.4249999999999998</v>
      </c>
      <c r="F222" s="19">
        <v>0</v>
      </c>
      <c r="G222" s="19">
        <f>C222*109.2/30</f>
        <v>54.6</v>
      </c>
      <c r="H222" s="20">
        <f>C222*0.01/30</f>
        <v>5.0000000000000001E-3</v>
      </c>
      <c r="I222" s="20">
        <f>C222*0.48/30</f>
        <v>0.23999999999999996</v>
      </c>
      <c r="J222" s="20">
        <f>C222*0.08/30</f>
        <v>0.04</v>
      </c>
      <c r="K222" s="20">
        <f>C222*0.12/30</f>
        <v>5.9999999999999991E-2</v>
      </c>
      <c r="L222" s="20">
        <f>C222*300/30</f>
        <v>150</v>
      </c>
      <c r="M222" s="20">
        <f>C222*162/30</f>
        <v>81</v>
      </c>
      <c r="N222" s="20">
        <f>C222*15/30</f>
        <v>7.5</v>
      </c>
      <c r="O222" s="20">
        <f>C222*0.33/30</f>
        <v>0.16500000000000001</v>
      </c>
    </row>
    <row r="223" spans="1:15" ht="15.75" x14ac:dyDescent="0.25">
      <c r="A223" s="12"/>
      <c r="B223" s="17" t="s">
        <v>55</v>
      </c>
      <c r="C223" s="16">
        <v>52</v>
      </c>
      <c r="D223" s="15">
        <f>C223*6.9/100</f>
        <v>3.5880000000000001</v>
      </c>
      <c r="E223" s="19">
        <f>1*C223/100</f>
        <v>0.52</v>
      </c>
      <c r="F223" s="19">
        <f>C223*48.3/100</f>
        <v>25.116</v>
      </c>
      <c r="G223" s="19">
        <f>C223*235/100</f>
        <v>122.2</v>
      </c>
      <c r="H223" s="21">
        <f>C223*0.16/100</f>
        <v>8.3199999999999996E-2</v>
      </c>
      <c r="I223" s="21">
        <v>0</v>
      </c>
      <c r="J223" s="21">
        <v>0</v>
      </c>
      <c r="K223" s="21">
        <f>C223*1.3/100</f>
        <v>0.67600000000000005</v>
      </c>
      <c r="L223" s="21">
        <f>C223*23/100</f>
        <v>11.96</v>
      </c>
      <c r="M223" s="21">
        <f>C223*87/100</f>
        <v>45.24</v>
      </c>
      <c r="N223" s="21">
        <f>C223*33/100</f>
        <v>17.16</v>
      </c>
      <c r="O223" s="21">
        <f>C223*2/100</f>
        <v>1.04</v>
      </c>
    </row>
    <row r="224" spans="1:15" ht="15.75" x14ac:dyDescent="0.25">
      <c r="A224" s="29" t="s">
        <v>24</v>
      </c>
      <c r="B224" s="17" t="s">
        <v>107</v>
      </c>
      <c r="C224" s="16">
        <v>200</v>
      </c>
      <c r="D224" s="15">
        <v>2.79</v>
      </c>
      <c r="E224" s="15">
        <v>3.19</v>
      </c>
      <c r="F224" s="15">
        <v>19.71</v>
      </c>
      <c r="G224" s="15">
        <v>118.69</v>
      </c>
      <c r="H224" s="15">
        <v>0.03</v>
      </c>
      <c r="I224" s="15">
        <v>1</v>
      </c>
      <c r="J224" s="15">
        <v>0.02</v>
      </c>
      <c r="K224" s="15">
        <v>0.05</v>
      </c>
      <c r="L224" s="15">
        <v>141.30000000000001</v>
      </c>
      <c r="M224" s="15">
        <v>91</v>
      </c>
      <c r="N224" s="15">
        <v>14</v>
      </c>
      <c r="O224" s="15">
        <v>0.14000000000000001</v>
      </c>
    </row>
    <row r="225" spans="1:15" ht="15.75" x14ac:dyDescent="0.25">
      <c r="A225" s="12"/>
      <c r="B225" s="17" t="s">
        <v>123</v>
      </c>
      <c r="C225" s="16">
        <v>100</v>
      </c>
      <c r="D225" s="19">
        <f>0.4*C225/100</f>
        <v>0.4</v>
      </c>
      <c r="E225" s="19">
        <f>C225*0.4/100</f>
        <v>0.4</v>
      </c>
      <c r="F225" s="19">
        <f>C225*9.8/100</f>
        <v>9.8000000000000007</v>
      </c>
      <c r="G225" s="19">
        <f>C225*42/100</f>
        <v>42</v>
      </c>
      <c r="H225" s="20">
        <f>0.03*C225/100</f>
        <v>0.03</v>
      </c>
      <c r="I225" s="20">
        <f>C225*5/100</f>
        <v>5</v>
      </c>
      <c r="J225" s="20">
        <f>0.03*C225/100</f>
        <v>0.03</v>
      </c>
      <c r="K225" s="20">
        <f>C225*0.6/100</f>
        <v>0.6</v>
      </c>
      <c r="L225" s="20">
        <f>C225*16/100</f>
        <v>16</v>
      </c>
      <c r="M225" s="20">
        <f>C225*11/100</f>
        <v>11</v>
      </c>
      <c r="N225" s="20">
        <f>C225*5/100</f>
        <v>5</v>
      </c>
      <c r="O225" s="20">
        <f>C225*2.2/100</f>
        <v>2.2000000000000002</v>
      </c>
    </row>
    <row r="226" spans="1:15" ht="15.75" x14ac:dyDescent="0.25">
      <c r="A226" s="22"/>
      <c r="B226" s="81" t="s">
        <v>34</v>
      </c>
      <c r="C226" s="82">
        <f t="shared" ref="C226:O226" si="29">SUM(C220:C225)</f>
        <v>577</v>
      </c>
      <c r="D226" s="83">
        <f t="shared" si="29"/>
        <v>18.104341463414631</v>
      </c>
      <c r="E226" s="83">
        <f t="shared" si="29"/>
        <v>23.744756097560977</v>
      </c>
      <c r="F226" s="83">
        <f t="shared" si="29"/>
        <v>88.999170731707324</v>
      </c>
      <c r="G226" s="83">
        <f t="shared" si="29"/>
        <v>643.65585365853656</v>
      </c>
      <c r="H226" s="83">
        <f t="shared" si="29"/>
        <v>0.28478536585365855</v>
      </c>
      <c r="I226" s="83">
        <f t="shared" si="29"/>
        <v>6.8809756097560975</v>
      </c>
      <c r="J226" s="83">
        <f t="shared" si="29"/>
        <v>0.10951219512195122</v>
      </c>
      <c r="K226" s="83">
        <f t="shared" si="29"/>
        <v>1.7689268292682927</v>
      </c>
      <c r="L226" s="83">
        <f t="shared" si="29"/>
        <v>486.46</v>
      </c>
      <c r="M226" s="83">
        <f t="shared" si="29"/>
        <v>413.67170731707319</v>
      </c>
      <c r="N226" s="83">
        <f t="shared" si="29"/>
        <v>80.525853658536576</v>
      </c>
      <c r="O226" s="83">
        <f t="shared" si="29"/>
        <v>5.8771951219512193</v>
      </c>
    </row>
    <row r="227" spans="1:15" ht="15.75" x14ac:dyDescent="0.25">
      <c r="A227" s="26"/>
      <c r="B227" s="2" t="s">
        <v>35</v>
      </c>
      <c r="C227" s="16"/>
      <c r="D227" s="16"/>
      <c r="E227" s="15"/>
      <c r="F227" s="16"/>
      <c r="G227" s="16"/>
      <c r="H227" s="16"/>
      <c r="I227" s="16"/>
      <c r="J227" s="16"/>
      <c r="K227" s="16"/>
      <c r="L227" s="15"/>
      <c r="M227" s="16"/>
      <c r="N227" s="16"/>
      <c r="O227" s="16"/>
    </row>
    <row r="228" spans="1:15" ht="15.75" x14ac:dyDescent="0.25">
      <c r="A228" s="44" t="s">
        <v>58</v>
      </c>
      <c r="B228" s="45" t="s">
        <v>59</v>
      </c>
      <c r="C228" s="46">
        <v>300</v>
      </c>
      <c r="D228" s="47">
        <f>C228*2.34/250</f>
        <v>2.8079999999999998</v>
      </c>
      <c r="E228" s="47">
        <f>C228*3.89/250</f>
        <v>4.6680000000000001</v>
      </c>
      <c r="F228" s="47">
        <f>C228*13.61/250</f>
        <v>16.332000000000001</v>
      </c>
      <c r="G228" s="47">
        <f>C228*98.79/250</f>
        <v>118.54800000000002</v>
      </c>
      <c r="H228" s="15">
        <f>C228*0.16/250</f>
        <v>0.192</v>
      </c>
      <c r="I228" s="15">
        <f>C228*3.13/250</f>
        <v>3.7559999999999998</v>
      </c>
      <c r="J228" s="15">
        <f>C228*0.01/250</f>
        <v>1.2E-2</v>
      </c>
      <c r="K228" s="15">
        <f>C228*0.21/250</f>
        <v>0.252</v>
      </c>
      <c r="L228" s="15">
        <f>28.43*C228/250</f>
        <v>34.116</v>
      </c>
      <c r="M228" s="15">
        <f>69.03*C228/250</f>
        <v>82.835999999999999</v>
      </c>
      <c r="N228" s="15">
        <f>26.6*C228/250</f>
        <v>31.92</v>
      </c>
      <c r="O228" s="15">
        <f>1.74*C228/250</f>
        <v>2.0880000000000001</v>
      </c>
    </row>
    <row r="229" spans="1:15" ht="15.75" x14ac:dyDescent="0.25">
      <c r="A229" s="92" t="s">
        <v>176</v>
      </c>
      <c r="B229" s="90" t="s">
        <v>163</v>
      </c>
      <c r="C229" s="16">
        <v>220</v>
      </c>
      <c r="D229" s="15">
        <v>14.45</v>
      </c>
      <c r="E229" s="15">
        <v>14.12</v>
      </c>
      <c r="F229" s="15">
        <v>10.85</v>
      </c>
      <c r="G229" s="15">
        <v>233.66</v>
      </c>
      <c r="H229" s="15">
        <v>0.04</v>
      </c>
      <c r="I229" s="15">
        <v>12.87</v>
      </c>
      <c r="J229" s="15">
        <v>0</v>
      </c>
      <c r="K229" s="15">
        <v>0.55000000000000004</v>
      </c>
      <c r="L229" s="15">
        <v>54.38</v>
      </c>
      <c r="M229" s="15">
        <v>135.87</v>
      </c>
      <c r="N229" s="15">
        <v>32.43</v>
      </c>
      <c r="O229" s="15">
        <v>1.32</v>
      </c>
    </row>
    <row r="230" spans="1:15" ht="15.75" x14ac:dyDescent="0.25">
      <c r="A230" s="12" t="s">
        <v>164</v>
      </c>
      <c r="B230" s="17" t="s">
        <v>165</v>
      </c>
      <c r="C230" s="16">
        <v>80</v>
      </c>
      <c r="D230" s="19">
        <v>1.1000000000000001</v>
      </c>
      <c r="E230" s="19">
        <v>8.06</v>
      </c>
      <c r="F230" s="19">
        <v>7.38</v>
      </c>
      <c r="G230" s="19">
        <v>106.62</v>
      </c>
      <c r="H230" s="20">
        <v>0.08</v>
      </c>
      <c r="I230" s="20">
        <v>1.8</v>
      </c>
      <c r="J230" s="20">
        <v>0</v>
      </c>
      <c r="K230" s="20">
        <v>1.7</v>
      </c>
      <c r="L230" s="20">
        <v>22.31</v>
      </c>
      <c r="M230" s="20">
        <v>24.46</v>
      </c>
      <c r="N230" s="20">
        <v>23.31</v>
      </c>
      <c r="O230" s="20">
        <v>0.86</v>
      </c>
    </row>
    <row r="231" spans="1:15" ht="15.75" x14ac:dyDescent="0.25">
      <c r="A231" s="12" t="s">
        <v>31</v>
      </c>
      <c r="B231" s="17" t="s">
        <v>76</v>
      </c>
      <c r="C231" s="16">
        <v>200</v>
      </c>
      <c r="D231" s="15">
        <v>2</v>
      </c>
      <c r="E231" s="15">
        <v>0.2</v>
      </c>
      <c r="F231" s="15">
        <v>5.8</v>
      </c>
      <c r="G231" s="15">
        <f>C231*7/50</f>
        <v>28</v>
      </c>
      <c r="H231" s="15">
        <v>0.04</v>
      </c>
      <c r="I231" s="15">
        <v>12</v>
      </c>
      <c r="J231" s="15">
        <v>0.01</v>
      </c>
      <c r="K231" s="15">
        <v>0.2</v>
      </c>
      <c r="L231" s="15">
        <v>60</v>
      </c>
      <c r="M231" s="15">
        <v>36</v>
      </c>
      <c r="N231" s="15">
        <v>20</v>
      </c>
      <c r="O231" s="15">
        <v>0.4</v>
      </c>
    </row>
    <row r="232" spans="1:15" ht="15.75" x14ac:dyDescent="0.25">
      <c r="A232" s="40"/>
      <c r="B232" s="17" t="s">
        <v>68</v>
      </c>
      <c r="C232" s="16">
        <v>50</v>
      </c>
      <c r="D232" s="15">
        <f>C232*6.9/100</f>
        <v>3.45</v>
      </c>
      <c r="E232" s="19">
        <f>1*C232/100</f>
        <v>0.5</v>
      </c>
      <c r="F232" s="19">
        <f>C232*48.3/100</f>
        <v>24.15</v>
      </c>
      <c r="G232" s="19">
        <f>C232*235/100</f>
        <v>117.5</v>
      </c>
      <c r="H232" s="21">
        <f>C232*0.16/100</f>
        <v>0.08</v>
      </c>
      <c r="I232" s="21">
        <v>0</v>
      </c>
      <c r="J232" s="21">
        <v>0</v>
      </c>
      <c r="K232" s="21">
        <f>C232*1.3/100</f>
        <v>0.65</v>
      </c>
      <c r="L232" s="21">
        <f>C232*23/100</f>
        <v>11.5</v>
      </c>
      <c r="M232" s="21">
        <f>C232*87/100</f>
        <v>43.5</v>
      </c>
      <c r="N232" s="21">
        <f>C232*33/100</f>
        <v>16.5</v>
      </c>
      <c r="O232" s="21">
        <f>C232*2/100</f>
        <v>1</v>
      </c>
    </row>
    <row r="233" spans="1:15" ht="15.75" x14ac:dyDescent="0.25">
      <c r="A233" s="40"/>
      <c r="B233" s="17" t="s">
        <v>69</v>
      </c>
      <c r="C233" s="16">
        <v>60</v>
      </c>
      <c r="D233" s="15">
        <f>C233*4.8/100</f>
        <v>2.88</v>
      </c>
      <c r="E233" s="19">
        <f>C233*1/100</f>
        <v>0.6</v>
      </c>
      <c r="F233" s="19">
        <f>C233*21.2/50</f>
        <v>25.44</v>
      </c>
      <c r="G233" s="19">
        <f>C233*100/50</f>
        <v>120</v>
      </c>
      <c r="H233" s="21">
        <f>C233*0.03/50</f>
        <v>3.5999999999999997E-2</v>
      </c>
      <c r="I233" s="21">
        <v>0</v>
      </c>
      <c r="J233" s="21">
        <v>0</v>
      </c>
      <c r="K233" s="21">
        <f>C233*0.07/50</f>
        <v>8.4000000000000005E-2</v>
      </c>
      <c r="L233" s="21">
        <f>C233*10.2/50</f>
        <v>12.24</v>
      </c>
      <c r="M233" s="21">
        <f>C233*42/50</f>
        <v>50.4</v>
      </c>
      <c r="N233" s="21">
        <f>C233*8.2/50</f>
        <v>9.8399999999999981</v>
      </c>
      <c r="O233" s="21">
        <v>0.05</v>
      </c>
    </row>
    <row r="234" spans="1:15" ht="15.75" x14ac:dyDescent="0.25">
      <c r="A234" s="41"/>
      <c r="B234" s="124" t="s">
        <v>47</v>
      </c>
      <c r="C234" s="125">
        <f>SUM(C228:C233)</f>
        <v>910</v>
      </c>
      <c r="D234" s="126">
        <f>SUM(D228:D233)</f>
        <v>26.687999999999999</v>
      </c>
      <c r="E234" s="126">
        <f t="shared" ref="E234:O234" si="30">SUM(E228:E233)</f>
        <v>28.148</v>
      </c>
      <c r="F234" s="126">
        <f>SUM(F228:F233)</f>
        <v>89.951999999999998</v>
      </c>
      <c r="G234" s="126">
        <f>SUM(G228:G233)</f>
        <v>724.32799999999997</v>
      </c>
      <c r="H234" s="126">
        <f>SUM(H228:H233)</f>
        <v>0.46799999999999997</v>
      </c>
      <c r="I234" s="126">
        <f>SUM(I228:I233)</f>
        <v>30.425999999999998</v>
      </c>
      <c r="J234" s="126">
        <f t="shared" si="30"/>
        <v>2.1999999999999999E-2</v>
      </c>
      <c r="K234" s="126">
        <f t="shared" si="30"/>
        <v>3.4359999999999999</v>
      </c>
      <c r="L234" s="126">
        <f t="shared" si="30"/>
        <v>194.54600000000002</v>
      </c>
      <c r="M234" s="126">
        <f t="shared" si="30"/>
        <v>373.06600000000003</v>
      </c>
      <c r="N234" s="126">
        <f t="shared" si="30"/>
        <v>134</v>
      </c>
      <c r="O234" s="126">
        <f t="shared" si="30"/>
        <v>5.7180000000000009</v>
      </c>
    </row>
    <row r="235" spans="1:15" ht="15.75" x14ac:dyDescent="0.25">
      <c r="A235" s="43"/>
      <c r="B235" s="63" t="s">
        <v>103</v>
      </c>
      <c r="C235" s="16"/>
      <c r="D235" s="34">
        <f t="shared" ref="D235:O235" si="31">D226+D234</f>
        <v>44.79234146341463</v>
      </c>
      <c r="E235" s="34">
        <f t="shared" si="31"/>
        <v>51.892756097560977</v>
      </c>
      <c r="F235" s="34">
        <f t="shared" si="31"/>
        <v>178.95117073170732</v>
      </c>
      <c r="G235" s="34">
        <f t="shared" si="31"/>
        <v>1367.9838536585366</v>
      </c>
      <c r="H235" s="34">
        <f t="shared" si="31"/>
        <v>0.75278536585365852</v>
      </c>
      <c r="I235" s="34">
        <f t="shared" si="31"/>
        <v>37.306975609756094</v>
      </c>
      <c r="J235" s="34">
        <f t="shared" si="31"/>
        <v>0.13151219512195123</v>
      </c>
      <c r="K235" s="34">
        <f t="shared" si="31"/>
        <v>5.2049268292682926</v>
      </c>
      <c r="L235" s="34">
        <f t="shared" si="31"/>
        <v>681.00599999999997</v>
      </c>
      <c r="M235" s="34">
        <f t="shared" si="31"/>
        <v>786.73770731707327</v>
      </c>
      <c r="N235" s="34">
        <f t="shared" si="31"/>
        <v>214.52585365853656</v>
      </c>
      <c r="O235" s="34">
        <f t="shared" si="31"/>
        <v>11.595195121951221</v>
      </c>
    </row>
    <row r="236" spans="1:15" ht="15.75" x14ac:dyDescent="0.25">
      <c r="A236" s="93"/>
      <c r="B236" s="94"/>
      <c r="C236" s="94"/>
      <c r="D236" s="95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ht="15.75" x14ac:dyDescent="0.25">
      <c r="A237" s="93"/>
      <c r="B237" s="66" t="s">
        <v>117</v>
      </c>
      <c r="C237" s="96"/>
      <c r="D237" s="97">
        <f>D135+D156+D180+D203+D226</f>
        <v>111.30784146341462</v>
      </c>
      <c r="E237" s="97">
        <f t="shared" ref="E237:O237" si="32">E135+E156+E180+E203+E226</f>
        <v>131.01402080344334</v>
      </c>
      <c r="F237" s="97">
        <f t="shared" si="32"/>
        <v>464.64852367288381</v>
      </c>
      <c r="G237" s="97">
        <f t="shared" si="32"/>
        <v>3409.7108536585365</v>
      </c>
      <c r="H237" s="97">
        <f t="shared" si="32"/>
        <v>1.5914500717360116</v>
      </c>
      <c r="I237" s="97">
        <f t="shared" si="32"/>
        <v>45.880975609756099</v>
      </c>
      <c r="J237" s="97">
        <f t="shared" si="32"/>
        <v>0.64304160688665712</v>
      </c>
      <c r="K237" s="97">
        <f t="shared" si="32"/>
        <v>10.386809182209468</v>
      </c>
      <c r="L237" s="97">
        <f t="shared" si="32"/>
        <v>1900.8447058823531</v>
      </c>
      <c r="M237" s="97">
        <f t="shared" si="32"/>
        <v>1788.0759720229555</v>
      </c>
      <c r="N237" s="97">
        <f t="shared" si="32"/>
        <v>383.97114777618361</v>
      </c>
      <c r="O237" s="97">
        <f t="shared" si="32"/>
        <v>23.58278335724534</v>
      </c>
    </row>
    <row r="238" spans="1:15" ht="15.75" x14ac:dyDescent="0.25">
      <c r="A238" s="93"/>
      <c r="B238" s="121" t="s">
        <v>118</v>
      </c>
      <c r="C238" s="128"/>
      <c r="D238" s="129">
        <f>D143+D165+D188+D212+D234</f>
        <v>157.07490476190475</v>
      </c>
      <c r="E238" s="129">
        <f t="shared" ref="E238:O238" si="33">E143+E165+E188+E212+E234</f>
        <v>174.14014285714288</v>
      </c>
      <c r="F238" s="129">
        <f t="shared" si="33"/>
        <v>607.50009523809524</v>
      </c>
      <c r="G238" s="129">
        <f t="shared" si="33"/>
        <v>4542.7095714285715</v>
      </c>
      <c r="H238" s="129">
        <f t="shared" si="33"/>
        <v>2.2378666666666667</v>
      </c>
      <c r="I238" s="129">
        <f t="shared" si="33"/>
        <v>150.63733333333334</v>
      </c>
      <c r="J238" s="129">
        <f t="shared" si="33"/>
        <v>0.8723333333333334</v>
      </c>
      <c r="K238" s="129">
        <f t="shared" si="33"/>
        <v>36.964333333333329</v>
      </c>
      <c r="L238" s="129">
        <f t="shared" si="33"/>
        <v>880.87666666666667</v>
      </c>
      <c r="M238" s="129">
        <f t="shared" si="33"/>
        <v>2535.7669999999998</v>
      </c>
      <c r="N238" s="129">
        <f t="shared" si="33"/>
        <v>759.93700000000001</v>
      </c>
      <c r="O238" s="129">
        <f t="shared" si="33"/>
        <v>44.694333333333333</v>
      </c>
    </row>
    <row r="239" spans="1:15" ht="15.75" x14ac:dyDescent="0.25">
      <c r="A239" s="93"/>
      <c r="B239" s="101"/>
      <c r="C239" s="93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1:15" x14ac:dyDescent="0.25">
      <c r="A240" s="93"/>
      <c r="B240" s="103" t="s">
        <v>166</v>
      </c>
      <c r="C240" s="104"/>
      <c r="D240" s="130">
        <f>D117+D237</f>
        <v>223.12148056115899</v>
      </c>
      <c r="E240" s="130">
        <f t="shared" ref="E240:O241" si="34">E117+E237</f>
        <v>253.92319373577419</v>
      </c>
      <c r="F240" s="130">
        <f t="shared" si="34"/>
        <v>934.46422292100408</v>
      </c>
      <c r="G240" s="130">
        <f t="shared" si="34"/>
        <v>6845.8609288465059</v>
      </c>
      <c r="H240" s="130">
        <f t="shared" si="34"/>
        <v>3.7123718762472899</v>
      </c>
      <c r="I240" s="130">
        <f t="shared" si="34"/>
        <v>86.882479369154595</v>
      </c>
      <c r="J240" s="130">
        <f t="shared" si="34"/>
        <v>1.482853636961845</v>
      </c>
      <c r="K240" s="130">
        <f t="shared" si="34"/>
        <v>19.875365573186912</v>
      </c>
      <c r="L240" s="130">
        <f t="shared" si="34"/>
        <v>3957.3415479876167</v>
      </c>
      <c r="M240" s="130">
        <f t="shared" si="34"/>
        <v>3772.2602577372409</v>
      </c>
      <c r="N240" s="130">
        <f t="shared" si="34"/>
        <v>824.6665613100181</v>
      </c>
      <c r="O240" s="130">
        <f t="shared" si="34"/>
        <v>46.208422454989702</v>
      </c>
    </row>
    <row r="241" spans="1:15" x14ac:dyDescent="0.25">
      <c r="A241" s="93"/>
      <c r="B241" s="103" t="s">
        <v>167</v>
      </c>
      <c r="C241" s="104"/>
      <c r="D241" s="130">
        <f>D118+D238</f>
        <v>313.58240476190474</v>
      </c>
      <c r="E241" s="130">
        <f t="shared" si="34"/>
        <v>337.69322822299654</v>
      </c>
      <c r="F241" s="130">
        <f t="shared" si="34"/>
        <v>1300.0910952380955</v>
      </c>
      <c r="G241" s="130">
        <f t="shared" si="34"/>
        <v>9327.683449477352</v>
      </c>
      <c r="H241" s="130">
        <f t="shared" si="34"/>
        <v>4.629366666666666</v>
      </c>
      <c r="I241" s="130">
        <f t="shared" si="34"/>
        <v>288.48606504065037</v>
      </c>
      <c r="J241" s="130">
        <f t="shared" si="34"/>
        <v>1.8446747967479675</v>
      </c>
      <c r="K241" s="130">
        <f t="shared" si="34"/>
        <v>82.655718699186991</v>
      </c>
      <c r="L241" s="130">
        <f t="shared" si="34"/>
        <v>2154.0506666666665</v>
      </c>
      <c r="M241" s="130">
        <f t="shared" si="34"/>
        <v>4933.8426219512194</v>
      </c>
      <c r="N241" s="130">
        <f t="shared" si="34"/>
        <v>1499.9436829268293</v>
      </c>
      <c r="O241" s="130">
        <f t="shared" si="34"/>
        <v>83.50633333333333</v>
      </c>
    </row>
    <row r="242" spans="1:15" x14ac:dyDescent="0.2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1:15" x14ac:dyDescent="0.25">
      <c r="A243" s="93"/>
      <c r="B243" s="106" t="s">
        <v>168</v>
      </c>
      <c r="C243" s="93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1:15" x14ac:dyDescent="0.25">
      <c r="A244" s="93"/>
      <c r="B244" s="107" t="s">
        <v>169</v>
      </c>
      <c r="C244" s="93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1:15" x14ac:dyDescent="0.25">
      <c r="A245" s="93"/>
      <c r="B245" s="109" t="s">
        <v>170</v>
      </c>
      <c r="C245" s="93"/>
      <c r="D245" s="110">
        <v>77</v>
      </c>
      <c r="E245" s="110">
        <v>79</v>
      </c>
      <c r="F245" s="110">
        <v>335</v>
      </c>
      <c r="G245" s="110">
        <v>2350</v>
      </c>
      <c r="H245" s="110">
        <v>1.2</v>
      </c>
      <c r="I245" s="110">
        <v>60</v>
      </c>
      <c r="J245" s="110">
        <v>0.7</v>
      </c>
      <c r="K245" s="110">
        <v>10</v>
      </c>
      <c r="L245" s="110">
        <v>1100</v>
      </c>
      <c r="M245" s="110">
        <v>1650</v>
      </c>
      <c r="N245" s="110">
        <v>250</v>
      </c>
      <c r="O245" s="110">
        <v>12</v>
      </c>
    </row>
    <row r="247" spans="1:15" x14ac:dyDescent="0.25">
      <c r="F247" s="131" t="s">
        <v>171</v>
      </c>
      <c r="G247" s="132">
        <v>1632</v>
      </c>
    </row>
  </sheetData>
  <mergeCells count="90">
    <mergeCell ref="B215:O215"/>
    <mergeCell ref="A216:A217"/>
    <mergeCell ref="B216:B217"/>
    <mergeCell ref="C216:C217"/>
    <mergeCell ref="D216:F216"/>
    <mergeCell ref="G216:G217"/>
    <mergeCell ref="H216:K216"/>
    <mergeCell ref="L216:O216"/>
    <mergeCell ref="B190:C190"/>
    <mergeCell ref="B191:O191"/>
    <mergeCell ref="A192:A193"/>
    <mergeCell ref="B192:B193"/>
    <mergeCell ref="C192:C193"/>
    <mergeCell ref="D192:F192"/>
    <mergeCell ref="G192:G193"/>
    <mergeCell ref="H192:K192"/>
    <mergeCell ref="L192:O192"/>
    <mergeCell ref="B168:O168"/>
    <mergeCell ref="A169:A170"/>
    <mergeCell ref="B169:B170"/>
    <mergeCell ref="C169:C170"/>
    <mergeCell ref="D169:F169"/>
    <mergeCell ref="G169:G170"/>
    <mergeCell ref="H169:K169"/>
    <mergeCell ref="L169:O169"/>
    <mergeCell ref="B145:C145"/>
    <mergeCell ref="B146:O146"/>
    <mergeCell ref="A147:A148"/>
    <mergeCell ref="B147:B148"/>
    <mergeCell ref="C147:C148"/>
    <mergeCell ref="D147:F147"/>
    <mergeCell ref="G147:G148"/>
    <mergeCell ref="H147:K147"/>
    <mergeCell ref="L147:O147"/>
    <mergeCell ref="B122:D122"/>
    <mergeCell ref="A124:O124"/>
    <mergeCell ref="A125:A126"/>
    <mergeCell ref="B125:B126"/>
    <mergeCell ref="C125:C126"/>
    <mergeCell ref="D125:F125"/>
    <mergeCell ref="G125:G126"/>
    <mergeCell ref="H125:K125"/>
    <mergeCell ref="L125:O125"/>
    <mergeCell ref="B92:C92"/>
    <mergeCell ref="B93:C93"/>
    <mergeCell ref="B94:O94"/>
    <mergeCell ref="A95:A96"/>
    <mergeCell ref="B95:B96"/>
    <mergeCell ref="C95:C96"/>
    <mergeCell ref="D95:F95"/>
    <mergeCell ref="G95:G96"/>
    <mergeCell ref="H95:K95"/>
    <mergeCell ref="L95:O95"/>
    <mergeCell ref="B71:C71"/>
    <mergeCell ref="B72:O72"/>
    <mergeCell ref="A73:A74"/>
    <mergeCell ref="B73:B74"/>
    <mergeCell ref="C73:C74"/>
    <mergeCell ref="D73:F73"/>
    <mergeCell ref="G73:G74"/>
    <mergeCell ref="H73:K73"/>
    <mergeCell ref="L73:O73"/>
    <mergeCell ref="B50:O50"/>
    <mergeCell ref="A51:A52"/>
    <mergeCell ref="B51:B52"/>
    <mergeCell ref="C51:C52"/>
    <mergeCell ref="D51:F51"/>
    <mergeCell ref="G51:G52"/>
    <mergeCell ref="H51:K51"/>
    <mergeCell ref="L51:O51"/>
    <mergeCell ref="H5:K5"/>
    <mergeCell ref="L5:O5"/>
    <mergeCell ref="B28:O28"/>
    <mergeCell ref="A29:A30"/>
    <mergeCell ref="B29:B30"/>
    <mergeCell ref="C29:C30"/>
    <mergeCell ref="D29:F29"/>
    <mergeCell ref="G29:G30"/>
    <mergeCell ref="H29:K29"/>
    <mergeCell ref="L29:O29"/>
    <mergeCell ref="A5:A6"/>
    <mergeCell ref="B5:B6"/>
    <mergeCell ref="C5:C6"/>
    <mergeCell ref="D5:F5"/>
    <mergeCell ref="G5:G6"/>
    <mergeCell ref="A1:A4"/>
    <mergeCell ref="B1:D1"/>
    <mergeCell ref="B2:D2"/>
    <mergeCell ref="B3:D3"/>
    <mergeCell ref="B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2022-04-25T19:18:09Z</cp:lastPrinted>
  <dcterms:created xsi:type="dcterms:W3CDTF">2015-06-05T18:19:34Z</dcterms:created>
  <dcterms:modified xsi:type="dcterms:W3CDTF">2022-04-29T09:37:07Z</dcterms:modified>
</cp:coreProperties>
</file>